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PEN DRIVE AZUL\arquivos\Contabeis\Planilhas\"/>
    </mc:Choice>
  </mc:AlternateContent>
  <xr:revisionPtr revIDLastSave="0" documentId="13_ncr:1_{A37531B6-09E5-4E7E-9A9F-3DE288501B18}" xr6:coauthVersionLast="45" xr6:coauthVersionMax="45" xr10:uidLastSave="{00000000-0000-0000-0000-000000000000}"/>
  <bookViews>
    <workbookView xWindow="-108" yWindow="-108" windowWidth="23256" windowHeight="12600" tabRatio="829" xr2:uid="{00000000-000D-0000-FFFF-FFFF00000000}"/>
  </bookViews>
  <sheets>
    <sheet name="IMP" sheetId="68" r:id="rId1"/>
    <sheet name="FAT" sheetId="60" r:id="rId2"/>
    <sheet name="SIM" sheetId="62" r:id="rId3"/>
    <sheet name="REA" sheetId="63" r:id="rId4"/>
    <sheet name="PRE" sheetId="64" r:id="rId5"/>
    <sheet name="DAS" sheetId="65" r:id="rId6"/>
    <sheet name="INI" sheetId="11" r:id="rId7"/>
    <sheet name="Dicas de Cursos" sheetId="71" r:id="rId8"/>
  </sheets>
  <definedNames>
    <definedName name="_xlnm._FilterDatabase" localSheetId="0" hidden="1">IMP!$D$5:$H$32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4" l="1"/>
  <c r="D16" i="64" s="1"/>
  <c r="D17" i="64" s="1"/>
  <c r="E22" i="64" s="1"/>
  <c r="D6" i="64"/>
  <c r="D10" i="64" s="1"/>
  <c r="D11" i="64" s="1"/>
  <c r="D6" i="63"/>
  <c r="D8" i="63" s="1"/>
  <c r="D7" i="63"/>
  <c r="D15" i="63"/>
  <c r="D16" i="63"/>
  <c r="D18" i="63"/>
  <c r="O27" i="64"/>
  <c r="N27" i="64"/>
  <c r="M27" i="64"/>
  <c r="L27" i="64"/>
  <c r="K27" i="64"/>
  <c r="J27" i="64"/>
  <c r="I27" i="64"/>
  <c r="H27" i="64"/>
  <c r="G27" i="64"/>
  <c r="F27" i="64"/>
  <c r="E27" i="64"/>
  <c r="D27" i="64"/>
  <c r="E26" i="64"/>
  <c r="F26" i="64"/>
  <c r="G26" i="64"/>
  <c r="H26" i="64"/>
  <c r="I26" i="64"/>
  <c r="J26" i="64"/>
  <c r="K26" i="64"/>
  <c r="L26" i="64"/>
  <c r="M26" i="64"/>
  <c r="N26" i="64"/>
  <c r="O26" i="64"/>
  <c r="D26" i="64"/>
  <c r="E25" i="64"/>
  <c r="F25" i="64"/>
  <c r="G25" i="64"/>
  <c r="H25" i="64"/>
  <c r="I25" i="64"/>
  <c r="J25" i="64"/>
  <c r="K25" i="64"/>
  <c r="L25" i="64"/>
  <c r="M25" i="64"/>
  <c r="N25" i="64"/>
  <c r="O25" i="64"/>
  <c r="D25" i="64"/>
  <c r="E24" i="64"/>
  <c r="F24" i="64"/>
  <c r="G24" i="64"/>
  <c r="H24" i="64"/>
  <c r="I24" i="64"/>
  <c r="J24" i="64"/>
  <c r="K24" i="64"/>
  <c r="L24" i="64"/>
  <c r="M24" i="64"/>
  <c r="N24" i="64"/>
  <c r="O24" i="64"/>
  <c r="D24" i="64"/>
  <c r="G7" i="64"/>
  <c r="G18" i="64" s="1"/>
  <c r="G19" i="64" s="1"/>
  <c r="H19" i="64"/>
  <c r="I19" i="64"/>
  <c r="J7" i="64"/>
  <c r="J18" i="64"/>
  <c r="J19" i="64"/>
  <c r="K19" i="64"/>
  <c r="L19" i="64"/>
  <c r="M7" i="64"/>
  <c r="M18" i="64"/>
  <c r="M19" i="64" s="1"/>
  <c r="N19" i="64"/>
  <c r="O19" i="64"/>
  <c r="D18" i="64"/>
  <c r="D19" i="64" s="1"/>
  <c r="O18" i="64"/>
  <c r="N18" i="64"/>
  <c r="L18" i="64"/>
  <c r="K18" i="64"/>
  <c r="I18" i="64"/>
  <c r="H18" i="64"/>
  <c r="O17" i="64"/>
  <c r="N17" i="64"/>
  <c r="M16" i="64"/>
  <c r="M17" i="64" s="1"/>
  <c r="M22" i="64" s="1"/>
  <c r="L17" i="64"/>
  <c r="K17" i="64"/>
  <c r="J16" i="64"/>
  <c r="J17" i="64" s="1"/>
  <c r="I17" i="64"/>
  <c r="H17" i="64"/>
  <c r="G16" i="64"/>
  <c r="G17" i="64" s="1"/>
  <c r="G6" i="64"/>
  <c r="G12" i="64" s="1"/>
  <c r="G13" i="64" s="1"/>
  <c r="H13" i="64"/>
  <c r="I13" i="64"/>
  <c r="J6" i="64"/>
  <c r="J10" i="64" s="1"/>
  <c r="J11" i="64" s="1"/>
  <c r="K13" i="64"/>
  <c r="L13" i="64"/>
  <c r="M6" i="64"/>
  <c r="M10" i="64" s="1"/>
  <c r="M11" i="64" s="1"/>
  <c r="N22" i="64" s="1"/>
  <c r="N13" i="64"/>
  <c r="O13" i="64"/>
  <c r="D12" i="64"/>
  <c r="D13" i="64"/>
  <c r="D23" i="64" s="1"/>
  <c r="H12" i="64"/>
  <c r="I12" i="64"/>
  <c r="K12" i="64"/>
  <c r="L12" i="64"/>
  <c r="N12" i="64"/>
  <c r="O12" i="64"/>
  <c r="K11" i="64"/>
  <c r="L11" i="64"/>
  <c r="N11" i="64"/>
  <c r="O11" i="64"/>
  <c r="H11" i="64"/>
  <c r="I11" i="64"/>
  <c r="E6" i="63"/>
  <c r="E7" i="63"/>
  <c r="E8" i="63" s="1"/>
  <c r="E15" i="63"/>
  <c r="E16" i="63"/>
  <c r="E18" i="63"/>
  <c r="F6" i="63"/>
  <c r="F8" i="63" s="1"/>
  <c r="F7" i="63"/>
  <c r="F15" i="63"/>
  <c r="F16" i="63"/>
  <c r="F18" i="63"/>
  <c r="G6" i="63"/>
  <c r="G7" i="63"/>
  <c r="G15" i="63"/>
  <c r="G16" i="63"/>
  <c r="G18" i="63"/>
  <c r="H6" i="63"/>
  <c r="H8" i="63" s="1"/>
  <c r="H7" i="63"/>
  <c r="H15" i="63"/>
  <c r="H16" i="63"/>
  <c r="H18" i="63"/>
  <c r="I6" i="63"/>
  <c r="I7" i="63"/>
  <c r="I8" i="63" s="1"/>
  <c r="I15" i="63"/>
  <c r="I16" i="63"/>
  <c r="I18" i="63"/>
  <c r="J6" i="63"/>
  <c r="J8" i="63" s="1"/>
  <c r="J10" i="63" s="1"/>
  <c r="J7" i="63"/>
  <c r="J15" i="63"/>
  <c r="J16" i="63"/>
  <c r="J18" i="63"/>
  <c r="K6" i="63"/>
  <c r="K8" i="63" s="1"/>
  <c r="K7" i="63"/>
  <c r="K15" i="63"/>
  <c r="K16" i="63"/>
  <c r="K18" i="63"/>
  <c r="L6" i="63"/>
  <c r="L8" i="63" s="1"/>
  <c r="L12" i="63" s="1"/>
  <c r="L7" i="63"/>
  <c r="L15" i="63"/>
  <c r="L16" i="63"/>
  <c r="L18" i="63"/>
  <c r="M6" i="63"/>
  <c r="M7" i="63"/>
  <c r="M8" i="63" s="1"/>
  <c r="M15" i="63"/>
  <c r="M16" i="63"/>
  <c r="M18" i="63"/>
  <c r="N6" i="63"/>
  <c r="N8" i="63" s="1"/>
  <c r="N7" i="63"/>
  <c r="N15" i="63"/>
  <c r="N16" i="63"/>
  <c r="N18" i="63"/>
  <c r="O6" i="63"/>
  <c r="O7" i="63"/>
  <c r="O15" i="63"/>
  <c r="O16" i="63"/>
  <c r="O18" i="63"/>
  <c r="D14" i="62"/>
  <c r="E18" i="62" s="1"/>
  <c r="D18" i="62"/>
  <c r="D17" i="62"/>
  <c r="E17" i="62"/>
  <c r="F17" i="62"/>
  <c r="G17" i="62"/>
  <c r="H17" i="62"/>
  <c r="I17" i="62"/>
  <c r="J17" i="62"/>
  <c r="K17" i="62"/>
  <c r="L17" i="62"/>
  <c r="M17" i="62"/>
  <c r="N17" i="62"/>
  <c r="O17" i="62"/>
  <c r="D8" i="62"/>
  <c r="D5" i="62"/>
  <c r="F9" i="62" s="1"/>
  <c r="I10" i="62"/>
  <c r="E8" i="62"/>
  <c r="F8" i="62"/>
  <c r="G8" i="62"/>
  <c r="H8" i="62"/>
  <c r="I8" i="62"/>
  <c r="J8" i="62"/>
  <c r="K8" i="62"/>
  <c r="L8" i="62"/>
  <c r="M8" i="62"/>
  <c r="N8" i="62"/>
  <c r="O8" i="62"/>
  <c r="O22" i="64"/>
  <c r="F19" i="64"/>
  <c r="E19" i="64"/>
  <c r="F18" i="64"/>
  <c r="E18" i="64"/>
  <c r="F17" i="64"/>
  <c r="E17" i="64"/>
  <c r="F12" i="64"/>
  <c r="F13" i="64"/>
  <c r="E12" i="64"/>
  <c r="E13" i="64"/>
  <c r="F11" i="64"/>
  <c r="E11" i="64"/>
  <c r="L22" i="64" l="1"/>
  <c r="K22" i="64"/>
  <c r="J22" i="64"/>
  <c r="H11" i="63"/>
  <c r="H12" i="63"/>
  <c r="D10" i="62"/>
  <c r="O19" i="62"/>
  <c r="K19" i="62"/>
  <c r="G19" i="62"/>
  <c r="G8" i="63"/>
  <c r="J12" i="64"/>
  <c r="J13" i="64" s="1"/>
  <c r="L18" i="62"/>
  <c r="H18" i="62"/>
  <c r="F18" i="62"/>
  <c r="F22" i="64"/>
  <c r="N18" i="62"/>
  <c r="J18" i="62"/>
  <c r="L9" i="62"/>
  <c r="M19" i="62"/>
  <c r="I19" i="62"/>
  <c r="E19" i="62"/>
  <c r="N9" i="62"/>
  <c r="K10" i="62"/>
  <c r="E20" i="62"/>
  <c r="E21" i="62" s="1"/>
  <c r="M12" i="63"/>
  <c r="M10" i="63"/>
  <c r="M11" i="63"/>
  <c r="K10" i="63"/>
  <c r="K12" i="63"/>
  <c r="K9" i="63"/>
  <c r="K13" i="63"/>
  <c r="G10" i="63"/>
  <c r="G11" i="63"/>
  <c r="G12" i="63"/>
  <c r="G9" i="63"/>
  <c r="G13" i="63"/>
  <c r="J23" i="64"/>
  <c r="J28" i="64" s="1"/>
  <c r="J7" i="65" s="1"/>
  <c r="K23" i="64"/>
  <c r="K28" i="64" s="1"/>
  <c r="K7" i="65" s="1"/>
  <c r="L23" i="64"/>
  <c r="L28" i="64" s="1"/>
  <c r="L7" i="65" s="1"/>
  <c r="G23" i="64"/>
  <c r="H23" i="64"/>
  <c r="I23" i="64"/>
  <c r="E23" i="64"/>
  <c r="E28" i="64" s="1"/>
  <c r="E7" i="65" s="1"/>
  <c r="F23" i="64"/>
  <c r="F28" i="64" s="1"/>
  <c r="F7" i="65" s="1"/>
  <c r="N9" i="63"/>
  <c r="N13" i="63"/>
  <c r="N11" i="63"/>
  <c r="N12" i="63"/>
  <c r="F9" i="63"/>
  <c r="F13" i="63"/>
  <c r="F10" i="63"/>
  <c r="F11" i="63"/>
  <c r="F12" i="63"/>
  <c r="E12" i="63"/>
  <c r="E9" i="63"/>
  <c r="E13" i="63"/>
  <c r="E10" i="63"/>
  <c r="E14" i="63" s="1"/>
  <c r="E17" i="63" s="1"/>
  <c r="E19" i="63" s="1"/>
  <c r="E11" i="63"/>
  <c r="D11" i="63"/>
  <c r="D12" i="63"/>
  <c r="D9" i="63"/>
  <c r="D13" i="63"/>
  <c r="D10" i="63"/>
  <c r="G9" i="62"/>
  <c r="H10" i="62"/>
  <c r="K9" i="62"/>
  <c r="K11" i="62" s="1"/>
  <c r="K12" i="62" s="1"/>
  <c r="L10" i="62"/>
  <c r="L11" i="62" s="1"/>
  <c r="L12" i="62" s="1"/>
  <c r="L23" i="62" s="1"/>
  <c r="L6" i="65" s="1"/>
  <c r="O9" i="62"/>
  <c r="D9" i="62"/>
  <c r="D11" i="62" s="1"/>
  <c r="D12" i="62" s="1"/>
  <c r="E9" i="62"/>
  <c r="F10" i="62"/>
  <c r="F11" i="62" s="1"/>
  <c r="F12" i="62" s="1"/>
  <c r="I9" i="62"/>
  <c r="I11" i="62" s="1"/>
  <c r="J10" i="62"/>
  <c r="M9" i="62"/>
  <c r="N10" i="62"/>
  <c r="I12" i="62"/>
  <c r="M10" i="62"/>
  <c r="H9" i="62"/>
  <c r="E10" i="62"/>
  <c r="O10" i="62"/>
  <c r="J9" i="62"/>
  <c r="G10" i="62"/>
  <c r="O8" i="63"/>
  <c r="M13" i="63"/>
  <c r="K11" i="63"/>
  <c r="D22" i="64"/>
  <c r="D28" i="64" s="1"/>
  <c r="D7" i="65" s="1"/>
  <c r="N10" i="63"/>
  <c r="N14" i="63" s="1"/>
  <c r="N17" i="63" s="1"/>
  <c r="N19" i="63" s="1"/>
  <c r="M9" i="63"/>
  <c r="M14" i="63" s="1"/>
  <c r="M17" i="63" s="1"/>
  <c r="M19" i="63" s="1"/>
  <c r="L11" i="63"/>
  <c r="L9" i="63"/>
  <c r="L13" i="63"/>
  <c r="L10" i="63"/>
  <c r="J9" i="63"/>
  <c r="J13" i="63"/>
  <c r="J11" i="63"/>
  <c r="J12" i="63"/>
  <c r="I12" i="63"/>
  <c r="I9" i="63"/>
  <c r="I13" i="63"/>
  <c r="I10" i="63"/>
  <c r="I11" i="63"/>
  <c r="H10" i="63"/>
  <c r="D19" i="62"/>
  <c r="D20" i="62" s="1"/>
  <c r="D21" i="62" s="1"/>
  <c r="O18" i="62"/>
  <c r="O20" i="62" s="1"/>
  <c r="O21" i="62" s="1"/>
  <c r="L19" i="62"/>
  <c r="L20" i="62" s="1"/>
  <c r="L21" i="62" s="1"/>
  <c r="K18" i="62"/>
  <c r="K20" i="62" s="1"/>
  <c r="K21" i="62" s="1"/>
  <c r="H19" i="62"/>
  <c r="H20" i="62" s="1"/>
  <c r="H21" i="62" s="1"/>
  <c r="G18" i="62"/>
  <c r="G20" i="62" s="1"/>
  <c r="G21" i="62" s="1"/>
  <c r="H13" i="63"/>
  <c r="H9" i="63"/>
  <c r="G10" i="64"/>
  <c r="G11" i="64" s="1"/>
  <c r="M12" i="64"/>
  <c r="M13" i="64" s="1"/>
  <c r="N19" i="62"/>
  <c r="N20" i="62" s="1"/>
  <c r="N21" i="62" s="1"/>
  <c r="M18" i="62"/>
  <c r="M20" i="62" s="1"/>
  <c r="M21" i="62" s="1"/>
  <c r="J19" i="62"/>
  <c r="J20" i="62" s="1"/>
  <c r="J21" i="62" s="1"/>
  <c r="I18" i="62"/>
  <c r="I20" i="62" s="1"/>
  <c r="I21" i="62" s="1"/>
  <c r="F19" i="62"/>
  <c r="F20" i="62" s="1"/>
  <c r="F21" i="62" s="1"/>
  <c r="K14" i="63" l="1"/>
  <c r="K17" i="63" s="1"/>
  <c r="K19" i="63" s="1"/>
  <c r="L14" i="63"/>
  <c r="L17" i="63" s="1"/>
  <c r="L19" i="63" s="1"/>
  <c r="F23" i="62"/>
  <c r="F6" i="65" s="1"/>
  <c r="D14" i="63"/>
  <c r="D17" i="63" s="1"/>
  <c r="D19" i="63" s="1"/>
  <c r="I14" i="63"/>
  <c r="I17" i="63" s="1"/>
  <c r="I19" i="63" s="1"/>
  <c r="G14" i="63"/>
  <c r="G17" i="63" s="1"/>
  <c r="G19" i="63" s="1"/>
  <c r="F14" i="63"/>
  <c r="F17" i="63" s="1"/>
  <c r="F19" i="63" s="1"/>
  <c r="E21" i="63"/>
  <c r="E20" i="63"/>
  <c r="E22" i="63" s="1"/>
  <c r="F21" i="63"/>
  <c r="F20" i="63"/>
  <c r="F22" i="63" s="1"/>
  <c r="M21" i="63"/>
  <c r="M20" i="63"/>
  <c r="M22" i="63" s="1"/>
  <c r="K21" i="63"/>
  <c r="K20" i="63"/>
  <c r="K22" i="63" s="1"/>
  <c r="N21" i="63"/>
  <c r="N20" i="63"/>
  <c r="D20" i="63"/>
  <c r="D23" i="63" s="1"/>
  <c r="D8" i="65" s="1"/>
  <c r="D21" i="63"/>
  <c r="L20" i="63"/>
  <c r="L22" i="63" s="1"/>
  <c r="L21" i="63"/>
  <c r="I21" i="63"/>
  <c r="I22" i="63" s="1"/>
  <c r="I20" i="63"/>
  <c r="K23" i="62"/>
  <c r="K6" i="65" s="1"/>
  <c r="G21" i="63"/>
  <c r="G22" i="63" s="1"/>
  <c r="G20" i="63"/>
  <c r="H22" i="64"/>
  <c r="H28" i="64" s="1"/>
  <c r="H7" i="65" s="1"/>
  <c r="G22" i="64"/>
  <c r="G28" i="64" s="1"/>
  <c r="G7" i="65" s="1"/>
  <c r="I22" i="64"/>
  <c r="I28" i="64" s="1"/>
  <c r="I7" i="65" s="1"/>
  <c r="J14" i="63"/>
  <c r="J17" i="63" s="1"/>
  <c r="J19" i="63" s="1"/>
  <c r="O10" i="63"/>
  <c r="O12" i="63"/>
  <c r="O9" i="63"/>
  <c r="O13" i="63"/>
  <c r="O11" i="63"/>
  <c r="H11" i="62"/>
  <c r="H12" i="62" s="1"/>
  <c r="H23" i="62" s="1"/>
  <c r="H6" i="65" s="1"/>
  <c r="O11" i="62"/>
  <c r="O12" i="62" s="1"/>
  <c r="O23" i="62" s="1"/>
  <c r="O6" i="65" s="1"/>
  <c r="G11" i="62"/>
  <c r="G12" i="62" s="1"/>
  <c r="G23" i="62" s="1"/>
  <c r="G6" i="65" s="1"/>
  <c r="E23" i="63"/>
  <c r="E8" i="65" s="1"/>
  <c r="K23" i="63"/>
  <c r="K8" i="65" s="1"/>
  <c r="M23" i="64"/>
  <c r="M28" i="64" s="1"/>
  <c r="M7" i="65" s="1"/>
  <c r="N23" i="64"/>
  <c r="N28" i="64" s="1"/>
  <c r="N7" i="65" s="1"/>
  <c r="O23" i="64"/>
  <c r="O28" i="64" s="1"/>
  <c r="O7" i="65" s="1"/>
  <c r="I23" i="62"/>
  <c r="I6" i="65" s="1"/>
  <c r="N23" i="63"/>
  <c r="N8" i="65" s="1"/>
  <c r="J11" i="62"/>
  <c r="J12" i="62" s="1"/>
  <c r="J23" i="62" s="1"/>
  <c r="J6" i="65" s="1"/>
  <c r="N11" i="62"/>
  <c r="N12" i="62" s="1"/>
  <c r="N23" i="62" s="1"/>
  <c r="N6" i="65" s="1"/>
  <c r="I23" i="63"/>
  <c r="I8" i="65" s="1"/>
  <c r="D23" i="62"/>
  <c r="D6" i="65" s="1"/>
  <c r="H14" i="63"/>
  <c r="H17" i="63" s="1"/>
  <c r="H19" i="63" s="1"/>
  <c r="M11" i="62"/>
  <c r="M12" i="62" s="1"/>
  <c r="M23" i="62" s="1"/>
  <c r="M6" i="65" s="1"/>
  <c r="E11" i="62"/>
  <c r="E12" i="62" s="1"/>
  <c r="E23" i="62" s="1"/>
  <c r="E6" i="65" s="1"/>
  <c r="G23" i="63" l="1"/>
  <c r="G8" i="65" s="1"/>
  <c r="O14" i="63"/>
  <c r="O17" i="63" s="1"/>
  <c r="O19" i="63" s="1"/>
  <c r="N22" i="63"/>
  <c r="F23" i="63"/>
  <c r="F8" i="65" s="1"/>
  <c r="O21" i="63"/>
  <c r="O20" i="63"/>
  <c r="O22" i="63" s="1"/>
  <c r="H21" i="63"/>
  <c r="H20" i="63"/>
  <c r="H23" i="63" s="1"/>
  <c r="H8" i="65" s="1"/>
  <c r="L23" i="63"/>
  <c r="L8" i="65" s="1"/>
  <c r="D22" i="63"/>
  <c r="M23" i="63"/>
  <c r="M8" i="65" s="1"/>
  <c r="J21" i="63"/>
  <c r="J20" i="63"/>
  <c r="J23" i="63" s="1"/>
  <c r="J8" i="65" s="1"/>
  <c r="J22" i="63" l="1"/>
  <c r="O23" i="63"/>
  <c r="O8" i="65" s="1"/>
  <c r="H22" i="63"/>
</calcChain>
</file>

<file path=xl/sharedStrings.xml><?xml version="1.0" encoding="utf-8"?>
<sst xmlns="http://schemas.openxmlformats.org/spreadsheetml/2006/main" count="279" uniqueCount="92">
  <si>
    <t>Passo 1</t>
  </si>
  <si>
    <t>Passo 2</t>
  </si>
  <si>
    <t>Passo 3</t>
  </si>
  <si>
    <t>Passo 4</t>
  </si>
  <si>
    <t>IMPORTANTE: SIGA O PASSO A PASSO DE PREENCHIMENTO</t>
  </si>
  <si>
    <t>ICMS</t>
  </si>
  <si>
    <t>IPI</t>
  </si>
  <si>
    <t>PIS</t>
  </si>
  <si>
    <t>COFINS</t>
  </si>
  <si>
    <t>ISS</t>
  </si>
  <si>
    <t>Lucro Presumido</t>
  </si>
  <si>
    <t>Lucro Real</t>
  </si>
  <si>
    <t>Receita Mínima</t>
  </si>
  <si>
    <t>Receita Máxima</t>
  </si>
  <si>
    <t>Percentual</t>
  </si>
  <si>
    <t>Indústria</t>
  </si>
  <si>
    <t>Simples Nacional</t>
  </si>
  <si>
    <t>Serviços</t>
  </si>
  <si>
    <t>IRPJ</t>
  </si>
  <si>
    <t>Base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</si>
  <si>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</si>
  <si>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</si>
  <si>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</si>
  <si>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</si>
  <si>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</si>
  <si>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</si>
  <si>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</si>
  <si>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</si>
  <si>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</si>
  <si>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</si>
  <si>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</si>
  <si>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</si>
  <si>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Faturamento</t>
  </si>
  <si>
    <t>Aliquota</t>
  </si>
  <si>
    <t>Imposto Devido</t>
  </si>
  <si>
    <t>Indústria Mensal</t>
  </si>
  <si>
    <t>Serviços Mensal</t>
  </si>
  <si>
    <t>(-) CPV (Produção)</t>
  </si>
  <si>
    <t>(-) CSP (Serviço)</t>
  </si>
  <si>
    <t>(-) Despesas Oper.</t>
  </si>
  <si>
    <t>Receita Bruta</t>
  </si>
  <si>
    <t>= Lucro Bruto</t>
  </si>
  <si>
    <t>= Lucro antes IR</t>
  </si>
  <si>
    <t>(-) IRPJ</t>
  </si>
  <si>
    <t>(-) CSLL</t>
  </si>
  <si>
    <t>= Lucro Liq.</t>
  </si>
  <si>
    <t>Total Impostos</t>
  </si>
  <si>
    <t>Base IRPJ - 16%</t>
  </si>
  <si>
    <t>IRPJ Devido</t>
  </si>
  <si>
    <t>CSSL Devido</t>
  </si>
  <si>
    <t>Base IRPJ - 8%</t>
  </si>
  <si>
    <t>Base CSSL - 12%</t>
  </si>
  <si>
    <t>1º Trimestre</t>
  </si>
  <si>
    <t>2º Trimestre</t>
  </si>
  <si>
    <t>3º Trimestre</t>
  </si>
  <si>
    <t>4º Trimestre</t>
  </si>
  <si>
    <t>ICMS Devido</t>
  </si>
  <si>
    <t>PIS Devido</t>
  </si>
  <si>
    <t>COFINS Devido</t>
  </si>
  <si>
    <t>ISS Devido</t>
  </si>
  <si>
    <t>Total de Impostos</t>
  </si>
  <si>
    <t>Impostos</t>
  </si>
  <si>
    <t>As informações sobre o faturamento da empresa deve ser cadastradas neste aba.</t>
  </si>
  <si>
    <t>Regime Tributário</t>
  </si>
  <si>
    <t>Receita Anual Média</t>
  </si>
  <si>
    <t>Nesta área é possível visualizar os impostos e aliquotas aplicadas.</t>
  </si>
  <si>
    <t>1ª Faixa</t>
  </si>
  <si>
    <t>2ª Faixa</t>
  </si>
  <si>
    <t>3ª Faixa</t>
  </si>
  <si>
    <t>4ª Faixa</t>
  </si>
  <si>
    <t>5ª Faixa</t>
  </si>
  <si>
    <t>6ª Faixa</t>
  </si>
  <si>
    <t>Dedução</t>
  </si>
  <si>
    <t>Aliquota Efetiva</t>
  </si>
  <si>
    <t>Segmento</t>
  </si>
  <si>
    <t>Vendas</t>
  </si>
  <si>
    <t>Serviços/Indústria</t>
  </si>
  <si>
    <t>CSLL</t>
  </si>
  <si>
    <t>Base CSLL - 32%</t>
  </si>
  <si>
    <t>= Receita Oper.</t>
  </si>
  <si>
    <t>PREVISÃO DE FATURAMENTO</t>
  </si>
  <si>
    <t>PLANEJAMENTO TRIBUTÁRIO</t>
  </si>
  <si>
    <t>DASHBOARD</t>
  </si>
  <si>
    <t>Na aba de planejamento tributário são calculados os impostos conforme o Simples Nacional, Lucro Real e Lucro Presumido.</t>
  </si>
  <si>
    <t>No Dashboard em uma tela é possível visualizar o valor dos impostos em cada regime tributário.</t>
  </si>
  <si>
    <t>IMPOSTOS</t>
  </si>
  <si>
    <r>
      <t xml:space="preserve">PLANILHA DE </t>
    </r>
    <r>
      <rPr>
        <b/>
        <sz val="26"/>
        <color rgb="FF333333"/>
        <rFont val="Calibri (Corpo)"/>
      </rPr>
      <t>PLANEJAMENTO TRIBUTÁRIO</t>
    </r>
  </si>
  <si>
    <t xml:space="preserve">TREINAMENTOS/CURSOS CAPACITAÇÃO PROFISSIONAL  </t>
  </si>
  <si>
    <t>Se você procura treinamentos completos do básico ao avançado, práticos onde possa aprender de um jeito simples e descomplicado</t>
  </si>
  <si>
    <t>Com verdadeiros profissionais, com autoriade e referência no assunto.</t>
  </si>
  <si>
    <t xml:space="preserve">Acesse o site &gt;&gt; </t>
  </si>
  <si>
    <t>https://dominandoacontabilidade.com/cursos-online/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</si>
</sst>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26"/>
      <color rgb="FF33333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 (Corpo)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333333"/>
      <name val="Calibri (Corpo)"/>
    </font>
    <font>
      <b/>
      <sz val="12"/>
      <color rgb="FF0070C0"/>
      <name val="Bodoni MT Black"/>
      <family val="1"/>
    </font>
    <font>
      <b/>
      <sz val="12"/>
      <color theme="1"/>
      <name val="Calibri"/>
      <family val="2"/>
      <scheme val="minor"/>
    </font>
    <font>
      <b/>
      <sz val="20"/>
      <color rgb="FF0070C0"/>
      <name val="Bodoni MT Black"/>
      <family val="1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0462E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 tint="-0.14996795556505021"/>
      </bottom>
      <diagonal/>
    </border>
    <border>
      <left/>
      <right/>
      <top style="thick">
        <color theme="0"/>
      </top>
      <bottom style="thin">
        <color theme="0" tint="-0.14996795556505021"/>
      </bottom>
      <diagonal/>
    </border>
    <border>
      <left/>
      <right style="thick">
        <color theme="0"/>
      </right>
      <top style="thick">
        <color theme="0"/>
      </top>
      <bottom style="thin">
        <color theme="0" tint="-0.1499679555650502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 applyProtection="1"/>
    <xf numFmtId="0" fontId="0" fillId="4" borderId="0" xfId="0" applyFill="1" applyBorder="1" applyProtection="1"/>
    <xf numFmtId="0" fontId="8" fillId="4" borderId="0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2" borderId="0" xfId="0" applyFill="1" applyAlignment="1" applyProtection="1">
      <alignment horizontal="right" indent="1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1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3" borderId="1" xfId="0" applyFill="1" applyBorder="1" applyProtection="1"/>
    <xf numFmtId="0" fontId="11" fillId="3" borderId="1" xfId="0" applyFont="1" applyFill="1" applyBorder="1" applyAlignment="1" applyProtection="1">
      <alignment horizontal="left" vertical="center" indent="1"/>
    </xf>
    <xf numFmtId="0" fontId="10" fillId="4" borderId="0" xfId="1" applyFont="1" applyFill="1" applyAlignment="1" applyProtection="1">
      <alignment horizontal="left" vertical="center" indent="1"/>
      <protection locked="0"/>
    </xf>
    <xf numFmtId="0" fontId="7" fillId="0" borderId="0" xfId="1" applyAlignment="1" applyProtection="1">
      <alignment horizontal="left" vertical="center"/>
    </xf>
    <xf numFmtId="0" fontId="0" fillId="2" borderId="0" xfId="0" applyFill="1" applyProtection="1"/>
    <xf numFmtId="0" fontId="0" fillId="2" borderId="0" xfId="0" applyFill="1" applyProtection="1"/>
    <xf numFmtId="0" fontId="18" fillId="5" borderId="5" xfId="0" applyFont="1" applyFill="1" applyBorder="1" applyAlignment="1" applyProtection="1">
      <alignment horizontal="left" vertical="center" wrapText="1" indent="1"/>
    </xf>
    <xf numFmtId="164" fontId="19" fillId="3" borderId="7" xfId="0" applyNumberFormat="1" applyFont="1" applyFill="1" applyBorder="1" applyAlignment="1">
      <alignment horizontal="left" vertical="center" indent="1"/>
    </xf>
    <xf numFmtId="10" fontId="19" fillId="3" borderId="7" xfId="3" applyNumberFormat="1" applyFont="1" applyFill="1" applyBorder="1" applyAlignment="1">
      <alignment horizontal="left" vertical="center" indent="1"/>
    </xf>
    <xf numFmtId="164" fontId="0" fillId="0" borderId="0" xfId="0" applyNumberFormat="1" applyFill="1" applyBorder="1" applyProtection="1"/>
    <xf numFmtId="164" fontId="19" fillId="3" borderId="7" xfId="0" applyNumberFormat="1" applyFont="1" applyFill="1" applyBorder="1" applyAlignment="1">
      <alignment horizontal="left" vertical="center" indent="1"/>
    </xf>
    <xf numFmtId="0" fontId="0" fillId="2" borderId="0" xfId="0" applyFill="1" applyProtection="1"/>
    <xf numFmtId="14" fontId="2" fillId="3" borderId="6" xfId="0" applyNumberFormat="1" applyFont="1" applyFill="1" applyBorder="1" applyAlignment="1" applyProtection="1">
      <alignment horizontal="left" vertical="center" wrapText="1" indent="1"/>
    </xf>
    <xf numFmtId="164" fontId="2" fillId="3" borderId="6" xfId="0" applyNumberFormat="1" applyFont="1" applyFill="1" applyBorder="1" applyAlignment="1" applyProtection="1">
      <alignment horizontal="left" vertical="center" wrapText="1" indent="1"/>
    </xf>
    <xf numFmtId="10" fontId="2" fillId="6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2" fillId="6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2" fillId="0" borderId="7" xfId="0" applyNumberFormat="1" applyFont="1" applyFill="1" applyBorder="1" applyAlignment="1" applyProtection="1">
      <alignment horizontal="left" vertical="center" indent="1"/>
      <protection locked="0"/>
    </xf>
    <xf numFmtId="164" fontId="2" fillId="3" borderId="7" xfId="0" applyNumberFormat="1" applyFont="1" applyFill="1" applyBorder="1" applyAlignment="1">
      <alignment horizontal="left" vertical="center" indent="1"/>
    </xf>
    <xf numFmtId="0" fontId="2" fillId="0" borderId="0" xfId="0" applyFont="1" applyFill="1" applyBorder="1" applyProtection="1"/>
    <xf numFmtId="0" fontId="2" fillId="0" borderId="0" xfId="0" applyFont="1"/>
    <xf numFmtId="10" fontId="2" fillId="3" borderId="7" xfId="3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 applyProtection="1">
      <alignment horizontal="left" indent="1"/>
    </xf>
    <xf numFmtId="164" fontId="21" fillId="7" borderId="7" xfId="0" applyNumberFormat="1" applyFont="1" applyFill="1" applyBorder="1" applyAlignment="1">
      <alignment horizontal="left" vertical="center" indent="1"/>
    </xf>
    <xf numFmtId="0" fontId="20" fillId="8" borderId="5" xfId="0" applyFont="1" applyFill="1" applyBorder="1" applyAlignment="1" applyProtection="1">
      <alignment horizontal="left" vertical="center" wrapText="1" indent="1"/>
    </xf>
    <xf numFmtId="0" fontId="18" fillId="5" borderId="5" xfId="0" quotePrefix="1" applyFont="1" applyFill="1" applyBorder="1" applyAlignment="1" applyProtection="1">
      <alignment horizontal="left" vertical="center" wrapText="1" indent="1"/>
    </xf>
    <xf numFmtId="0" fontId="0" fillId="9" borderId="0" xfId="0" applyFill="1"/>
    <xf numFmtId="0" fontId="0" fillId="9" borderId="0" xfId="0" applyFill="1" applyProtection="1"/>
    <xf numFmtId="0" fontId="13" fillId="9" borderId="0" xfId="0" applyFont="1" applyFill="1" applyAlignment="1" applyProtection="1">
      <alignment vertical="center"/>
    </xf>
    <xf numFmtId="0" fontId="22" fillId="9" borderId="0" xfId="0" applyFont="1" applyFill="1" applyAlignment="1" applyProtection="1">
      <alignment horizontal="left" vertical="center" wrapText="1"/>
    </xf>
    <xf numFmtId="10" fontId="2" fillId="6" borderId="6" xfId="0" applyNumberFormat="1" applyFont="1" applyFill="1" applyBorder="1" applyAlignment="1" applyProtection="1">
      <alignment horizontal="left" vertical="center" wrapText="1" indent="1"/>
    </xf>
    <xf numFmtId="164" fontId="2" fillId="6" borderId="6" xfId="0" applyNumberFormat="1" applyFont="1" applyFill="1" applyBorder="1" applyAlignment="1" applyProtection="1">
      <alignment horizontal="left" vertical="center" wrapText="1" indent="1"/>
    </xf>
    <xf numFmtId="164" fontId="2" fillId="3" borderId="7" xfId="0" applyNumberFormat="1" applyFont="1" applyFill="1" applyBorder="1" applyAlignment="1" applyProtection="1">
      <alignment horizontal="left" vertical="center" indent="1"/>
    </xf>
    <xf numFmtId="0" fontId="17" fillId="0" borderId="0" xfId="4"/>
    <xf numFmtId="0" fontId="25" fillId="0" borderId="0" xfId="4" applyFont="1"/>
    <xf numFmtId="0" fontId="7" fillId="0" borderId="0" xfId="5"/>
    <xf numFmtId="0" fontId="7" fillId="0" borderId="0" xfId="1"/>
    <xf numFmtId="0" fontId="24" fillId="6" borderId="0" xfId="4" applyFont="1" applyFill="1"/>
    <xf numFmtId="164" fontId="2" fillId="3" borderId="9" xfId="0" applyNumberFormat="1" applyFont="1" applyFill="1" applyBorder="1" applyAlignment="1">
      <alignment horizontal="left" vertical="center" indent="1"/>
    </xf>
    <xf numFmtId="164" fontId="2" fillId="3" borderId="10" xfId="0" applyNumberFormat="1" applyFont="1" applyFill="1" applyBorder="1" applyAlignment="1">
      <alignment horizontal="left" vertical="center" indent="1"/>
    </xf>
    <xf numFmtId="164" fontId="2" fillId="3" borderId="8" xfId="0" applyNumberFormat="1" applyFont="1" applyFill="1" applyBorder="1" applyAlignment="1">
      <alignment horizontal="left" vertical="center" indent="1"/>
    </xf>
    <xf numFmtId="164" fontId="2" fillId="3" borderId="7" xfId="0" applyNumberFormat="1" applyFont="1" applyFill="1" applyBorder="1" applyAlignment="1">
      <alignment horizontal="left" vertical="center" indent="1"/>
    </xf>
    <xf numFmtId="164" fontId="2" fillId="3" borderId="14" xfId="0" applyNumberFormat="1" applyFont="1" applyFill="1" applyBorder="1" applyAlignment="1">
      <alignment horizontal="left" vertical="center" indent="1"/>
    </xf>
    <xf numFmtId="164" fontId="2" fillId="3" borderId="15" xfId="0" applyNumberFormat="1" applyFont="1" applyFill="1" applyBorder="1" applyAlignment="1">
      <alignment horizontal="left" vertical="center" indent="1"/>
    </xf>
    <xf numFmtId="164" fontId="2" fillId="3" borderId="16" xfId="0" applyNumberFormat="1" applyFont="1" applyFill="1" applyBorder="1" applyAlignment="1">
      <alignment horizontal="left" vertical="center" indent="1"/>
    </xf>
    <xf numFmtId="0" fontId="18" fillId="5" borderId="11" xfId="0" applyFont="1" applyFill="1" applyBorder="1" applyAlignment="1" applyProtection="1">
      <alignment horizontal="left" vertical="center" wrapText="1" indent="1"/>
    </xf>
    <xf numFmtId="0" fontId="18" fillId="5" borderId="12" xfId="0" applyFont="1" applyFill="1" applyBorder="1" applyAlignment="1" applyProtection="1">
      <alignment horizontal="left" vertical="center" wrapText="1" indent="1"/>
    </xf>
    <xf numFmtId="0" fontId="18" fillId="5" borderId="13" xfId="0" applyFont="1" applyFill="1" applyBorder="1" applyAlignment="1" applyProtection="1">
      <alignment horizontal="left" vertical="center" wrapText="1" indent="1"/>
    </xf>
    <xf numFmtId="0" fontId="0" fillId="2" borderId="0" xfId="0" applyFill="1" applyProtection="1"/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wrapText="1" indent="1"/>
    </xf>
    <xf numFmtId="0" fontId="26" fillId="6" borderId="0" xfId="4" applyFont="1" applyFill="1"/>
    <xf numFmtId="0" fontId="27" fillId="0" borderId="0" xfId="4" applyFont="1"/>
  </cellXfs>
  <cellStyles count="6">
    <cellStyle name="Hiperlink" xfId="1" builtinId="8"/>
    <cellStyle name="Hiperlink 2" xfId="5" xr:uid="{84C20138-521A-483E-BB89-7DB4AC30544D}"/>
    <cellStyle name="Hiperlink Visitado" xfId="2" builtinId="9" hidden="1"/>
    <cellStyle name="Normal" xfId="0" builtinId="0"/>
    <cellStyle name="Normal 3" xfId="4" xr:uid="{7633B2BE-8648-4539-A099-74F06CA002B6}"/>
    <cellStyle name="Porcentagem" xfId="3" builtinId="5"/>
  </cellStyles>
  <dxfs count="0"/>
  <tableStyles count="0" defaultTableStyle="TableStyleMedium9" defaultPivotStyle="PivotStyleMedium7"/>
  <colors>
    <mruColors>
      <color rgb="FFF0462E"/>
      <color rgb="FF6699CC"/>
      <color rgb="FF0562C1"/>
      <color rgb="FFE71919"/>
      <color rgb="FF55B03E"/>
      <color rgb="FF566DCE"/>
      <color rgb="FFFF9300"/>
      <color rgb="FF9ED890"/>
      <color rgb="FFF58273"/>
      <color rgb="FFFA4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DAS!$C$6</c:f>
              <c:strCache>
                <c:ptCount val="1"/>
                <c:pt idx="0">
                  <c:v>Simples Nacional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invertIfNegative val="0"/>
          <c:cat>
            <c:strRef>
              <c:f>DAS!$D$5:$O$5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DAS!$D$6:$O$6</c:f>
              <c:numCache>
                <c:formatCode>"R$"\ #,##0.00</c:formatCode>
                <c:ptCount val="12"/>
                <c:pt idx="0">
                  <c:v>2178.8685294117649</c:v>
                </c:pt>
                <c:pt idx="1">
                  <c:v>2178.8685294117649</c:v>
                </c:pt>
                <c:pt idx="2">
                  <c:v>2723.5744117647059</c:v>
                </c:pt>
                <c:pt idx="3">
                  <c:v>1634.1626470588235</c:v>
                </c:pt>
                <c:pt idx="4">
                  <c:v>1089.4567647058825</c:v>
                </c:pt>
                <c:pt idx="5">
                  <c:v>3812.9861764705884</c:v>
                </c:pt>
                <c:pt idx="6">
                  <c:v>1634.1626470588235</c:v>
                </c:pt>
                <c:pt idx="7">
                  <c:v>2178.8685294117649</c:v>
                </c:pt>
                <c:pt idx="8">
                  <c:v>3812.9861764705884</c:v>
                </c:pt>
                <c:pt idx="9">
                  <c:v>2723.5744117647059</c:v>
                </c:pt>
                <c:pt idx="10">
                  <c:v>2178.8685294117649</c:v>
                </c:pt>
                <c:pt idx="11">
                  <c:v>1634.1626470588235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0-4095-A9C6-576B3BA3A38E}"/>
            </c:ext>
          </c:extLst>
        </c:ser>
        <c:ser>
          <c:idx val="1"/>
          <c:order val="1"/>
          <c:tx>
            <c:strRef>
              <c:f>DAS!$C$7</c:f>
              <c:strCache>
                <c:ptCount val="1"/>
                <c:pt idx="0">
                  <c:v>Lucro Presumido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DAS!$D$5:$O$5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DAS!$D$7:$O$7</c:f>
              <c:numCache>
                <c:formatCode>"R$"\ #,##0.00</c:formatCode>
                <c:ptCount val="12"/>
                <c:pt idx="0">
                  <c:v>1144.1593</c:v>
                </c:pt>
                <c:pt idx="1">
                  <c:v>1144.1593</c:v>
                </c:pt>
                <c:pt idx="2">
                  <c:v>1144.1593</c:v>
                </c:pt>
                <c:pt idx="3">
                  <c:v>1056.1592999999998</c:v>
                </c:pt>
                <c:pt idx="4">
                  <c:v>1056.1592999999998</c:v>
                </c:pt>
                <c:pt idx="5">
                  <c:v>1056.1592999999998</c:v>
                </c:pt>
                <c:pt idx="6">
                  <c:v>1232.1593</c:v>
                </c:pt>
                <c:pt idx="7">
                  <c:v>1232.1593</c:v>
                </c:pt>
                <c:pt idx="8">
                  <c:v>1232.1593</c:v>
                </c:pt>
                <c:pt idx="9">
                  <c:v>1056.1592999999998</c:v>
                </c:pt>
                <c:pt idx="10">
                  <c:v>1056.1592999999998</c:v>
                </c:pt>
                <c:pt idx="11">
                  <c:v>1056.1592999999998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0-4095-A9C6-576B3BA3A38E}"/>
            </c:ext>
          </c:extLst>
        </c:ser>
        <c:ser>
          <c:idx val="2"/>
          <c:order val="2"/>
          <c:tx>
            <c:strRef>
              <c:f>DAS!$C$8</c:f>
              <c:strCache>
                <c:ptCount val="1"/>
                <c:pt idx="0">
                  <c:v>Lucro Real</c:v>
                </c:pt>
              </c:strCache>
            </c:strRef>
          </c:tx>
          <c:spPr>
            <a:solidFill>
              <a:srgbClr val="6699CC"/>
            </a:solidFill>
          </c:spPr>
          <c:invertIfNegative val="0"/>
          <c:cat>
            <c:strRef>
              <c:f>DAS!$D$5:$O$5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DAS!$D$8:$O$8</c:f>
              <c:numCache>
                <c:formatCode>"R$"\ #,##0.00</c:formatCode>
                <c:ptCount val="12"/>
                <c:pt idx="0">
                  <c:v>6886.3863000000001</c:v>
                </c:pt>
                <c:pt idx="1">
                  <c:v>7006.3863000000001</c:v>
                </c:pt>
                <c:pt idx="2">
                  <c:v>9057.8863000000001</c:v>
                </c:pt>
                <c:pt idx="3">
                  <c:v>5074.8863000000001</c:v>
                </c:pt>
                <c:pt idx="4">
                  <c:v>3623.3862999999997</c:v>
                </c:pt>
                <c:pt idx="5">
                  <c:v>12647.217049999999</c:v>
                </c:pt>
                <c:pt idx="6">
                  <c:v>5434.8863000000001</c:v>
                </c:pt>
                <c:pt idx="7">
                  <c:v>7162.3863000000001</c:v>
                </c:pt>
                <c:pt idx="8">
                  <c:v>13208.217049999999</c:v>
                </c:pt>
                <c:pt idx="9">
                  <c:v>8841.8863000000001</c:v>
                </c:pt>
                <c:pt idx="10">
                  <c:v>6958.3863000000001</c:v>
                </c:pt>
                <c:pt idx="11">
                  <c:v>5146.8863000000001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3-4082-99E6-C595D668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642944"/>
        <c:axId val="96644480"/>
      </c:barChart>
      <c:catAx>
        <c:axId val="966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4480"/>
        <c:crosses val="autoZero"/>
        <c:auto val="1"/>
        <c:lblAlgn val="ctr"/>
        <c:lblOffset val="100"/>
        <c:noMultiLvlLbl val="0"/>
      </c:catAx>
      <c:valAx>
        <c:axId val="96644480"/>
        <c:scaling>
          <c:orientation val="minMax"/>
        </c:scaling>
        <c:delete val="0"/>
        <c:axPos val="l"/>
        <c:numFmt formatCode="&quot;R$&quot;\ #,##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9664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7" Type="http://schemas.openxmlformats.org/officeDocument/2006/relationships/hyperlink" Target="#PRE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6" Type="http://schemas.openxmlformats.org/officeDocument/2006/relationships/hyperlink" Target="#REA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7" Type="http://schemas.openxmlformats.org/officeDocument/2006/relationships/hyperlink" Target="#PRE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6" Type="http://schemas.openxmlformats.org/officeDocument/2006/relationships/hyperlink" Target="#REA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7" Type="http://schemas.openxmlformats.org/officeDocument/2006/relationships/hyperlink" Target="#PRE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6" Type="http://schemas.openxmlformats.org/officeDocument/2006/relationships/hyperlink" Target="#REA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FAT!A1"/><Relationship Id="rId2" Type="http://schemas.openxmlformats.org/officeDocument/2006/relationships/hyperlink" Target="#IMP!A1"/><Relationship Id="rId1" Type="http://schemas.openxmlformats.org/officeDocument/2006/relationships/chart" Target="../charts/chart1.xml"/><Relationship Id="rId6" Type="http://schemas.openxmlformats.org/officeDocument/2006/relationships/hyperlink" Target="#INI!A1"/><Relationship Id="rId5" Type="http://schemas.openxmlformats.org/officeDocument/2006/relationships/hyperlink" Target="#DAS!A1"/><Relationship Id="rId4" Type="http://schemas.openxmlformats.org/officeDocument/2006/relationships/hyperlink" Target="#SIM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SIM!A1"/><Relationship Id="rId2" Type="http://schemas.openxmlformats.org/officeDocument/2006/relationships/hyperlink" Target="#FAT!A1"/><Relationship Id="rId1" Type="http://schemas.openxmlformats.org/officeDocument/2006/relationships/hyperlink" Target="#IMP!A1"/><Relationship Id="rId5" Type="http://schemas.openxmlformats.org/officeDocument/2006/relationships/hyperlink" Target="#INI!A1"/><Relationship Id="rId4" Type="http://schemas.openxmlformats.org/officeDocument/2006/relationships/hyperlink" Target="#DA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1079537</xdr:colOff>
      <xdr:row>0</xdr:row>
      <xdr:rowOff>0</xdr:rowOff>
    </xdr:from>
    <xdr:to>
      <xdr:col>3</xdr:col>
      <xdr:colOff>1068917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1346237" y="0"/>
          <a:ext cx="1408605" cy="498210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IMPOSTOS</a:t>
          </a:r>
        </a:p>
      </xdr:txBody>
    </xdr:sp>
    <xdr:clientData/>
  </xdr:twoCellAnchor>
  <xdr:twoCellAnchor editAs="absolute">
    <xdr:from>
      <xdr:col>3</xdr:col>
      <xdr:colOff>1083760</xdr:colOff>
      <xdr:row>0</xdr:row>
      <xdr:rowOff>0</xdr:rowOff>
    </xdr:from>
    <xdr:to>
      <xdr:col>4</xdr:col>
      <xdr:colOff>1073140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2769685" y="0"/>
          <a:ext cx="140860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4</xdr:col>
      <xdr:colOff>1077408</xdr:colOff>
      <xdr:row>0</xdr:row>
      <xdr:rowOff>4234</xdr:rowOff>
    </xdr:from>
    <xdr:to>
      <xdr:col>5</xdr:col>
      <xdr:colOff>1066789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4182558" y="4234"/>
          <a:ext cx="1408606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1081636</xdr:colOff>
      <xdr:row>0</xdr:row>
      <xdr:rowOff>0</xdr:rowOff>
    </xdr:from>
    <xdr:to>
      <xdr:col>6</xdr:col>
      <xdr:colOff>1071016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5606011" y="0"/>
          <a:ext cx="140860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6</xdr:col>
      <xdr:colOff>1085868</xdr:colOff>
      <xdr:row>0</xdr:row>
      <xdr:rowOff>0</xdr:rowOff>
    </xdr:from>
    <xdr:to>
      <xdr:col>7</xdr:col>
      <xdr:colOff>1075248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7029468" y="0"/>
          <a:ext cx="140860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836057</xdr:colOff>
      <xdr:row>1</xdr:row>
      <xdr:rowOff>107947</xdr:rowOff>
    </xdr:from>
    <xdr:to>
      <xdr:col>3</xdr:col>
      <xdr:colOff>1013874</xdr:colOff>
      <xdr:row>2</xdr:row>
      <xdr:rowOff>14947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1102757" y="603247"/>
          <a:ext cx="1597042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ALÍQUOTAS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1079537</xdr:colOff>
      <xdr:row>0</xdr:row>
      <xdr:rowOff>0</xdr:rowOff>
    </xdr:from>
    <xdr:to>
      <xdr:col>4</xdr:col>
      <xdr:colOff>137584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4</xdr:col>
      <xdr:colOff>152427</xdr:colOff>
      <xdr:row>0</xdr:row>
      <xdr:rowOff>0</xdr:rowOff>
    </xdr:from>
    <xdr:to>
      <xdr:col>5</xdr:col>
      <xdr:colOff>554557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558825</xdr:colOff>
      <xdr:row>0</xdr:row>
      <xdr:rowOff>4234</xdr:rowOff>
    </xdr:from>
    <xdr:to>
      <xdr:col>6</xdr:col>
      <xdr:colOff>960955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6</xdr:col>
      <xdr:colOff>975802</xdr:colOff>
      <xdr:row>0</xdr:row>
      <xdr:rowOff>0</xdr:rowOff>
    </xdr:from>
    <xdr:to>
      <xdr:col>8</xdr:col>
      <xdr:colOff>372516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387368</xdr:colOff>
      <xdr:row>0</xdr:row>
      <xdr:rowOff>0</xdr:rowOff>
    </xdr:from>
    <xdr:to>
      <xdr:col>9</xdr:col>
      <xdr:colOff>789498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825474</xdr:colOff>
      <xdr:row>1</xdr:row>
      <xdr:rowOff>95247</xdr:rowOff>
    </xdr:from>
    <xdr:to>
      <xdr:col>4</xdr:col>
      <xdr:colOff>71958</xdr:colOff>
      <xdr:row>2</xdr:row>
      <xdr:rowOff>2247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>
        <a:xfrm>
          <a:off x="1090057" y="592664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IMPOSTOS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1079537</xdr:colOff>
      <xdr:row>0</xdr:row>
      <xdr:rowOff>0</xdr:rowOff>
    </xdr:from>
    <xdr:to>
      <xdr:col>4</xdr:col>
      <xdr:colOff>31750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4</xdr:col>
      <xdr:colOff>46593</xdr:colOff>
      <xdr:row>0</xdr:row>
      <xdr:rowOff>0</xdr:rowOff>
    </xdr:from>
    <xdr:to>
      <xdr:col>5</xdr:col>
      <xdr:colOff>438140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442408</xdr:colOff>
      <xdr:row>0</xdr:row>
      <xdr:rowOff>4234</xdr:rowOff>
    </xdr:from>
    <xdr:to>
      <xdr:col>6</xdr:col>
      <xdr:colOff>833955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6</xdr:col>
      <xdr:colOff>848802</xdr:colOff>
      <xdr:row>0</xdr:row>
      <xdr:rowOff>0</xdr:rowOff>
    </xdr:from>
    <xdr:to>
      <xdr:col>8</xdr:col>
      <xdr:colOff>224349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239201</xdr:colOff>
      <xdr:row>0</xdr:row>
      <xdr:rowOff>0</xdr:rowOff>
    </xdr:from>
    <xdr:to>
      <xdr:col>9</xdr:col>
      <xdr:colOff>630748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836054</xdr:colOff>
      <xdr:row>1</xdr:row>
      <xdr:rowOff>101596</xdr:rowOff>
    </xdr:from>
    <xdr:to>
      <xdr:col>3</xdr:col>
      <xdr:colOff>992704</xdr:colOff>
      <xdr:row>2</xdr:row>
      <xdr:rowOff>8596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>
        <a:xfrm>
          <a:off x="1100637" y="599013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SIMPLES NACIONAL</a:t>
          </a:r>
        </a:p>
      </xdr:txBody>
    </xdr:sp>
    <xdr:clientData/>
  </xdr:twoCellAnchor>
  <xdr:twoCellAnchor editAs="absolute">
    <xdr:from>
      <xdr:col>3</xdr:col>
      <xdr:colOff>999021</xdr:colOff>
      <xdr:row>1</xdr:row>
      <xdr:rowOff>101596</xdr:rowOff>
    </xdr:from>
    <xdr:to>
      <xdr:col>5</xdr:col>
      <xdr:colOff>563005</xdr:colOff>
      <xdr:row>2</xdr:row>
      <xdr:rowOff>8596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>
        <a:xfrm>
          <a:off x="2702938" y="599013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LUCRO REAL</a:t>
          </a:r>
        </a:p>
      </xdr:txBody>
    </xdr:sp>
    <xdr:clientData/>
  </xdr:twoCellAnchor>
  <xdr:twoCellAnchor editAs="absolute">
    <xdr:from>
      <xdr:col>5</xdr:col>
      <xdr:colOff>579913</xdr:colOff>
      <xdr:row>1</xdr:row>
      <xdr:rowOff>95247</xdr:rowOff>
    </xdr:from>
    <xdr:to>
      <xdr:col>7</xdr:col>
      <xdr:colOff>143897</xdr:colOff>
      <xdr:row>2</xdr:row>
      <xdr:rowOff>2247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>
        <a:xfrm>
          <a:off x="4315830" y="592664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LUCRO PRESUMIDO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1851</xdr:colOff>
      <xdr:row>0</xdr:row>
      <xdr:rowOff>0</xdr:rowOff>
    </xdr:from>
    <xdr:to>
      <xdr:col>4</xdr:col>
      <xdr:colOff>391584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4</xdr:col>
      <xdr:colOff>406427</xdr:colOff>
      <xdr:row>0</xdr:row>
      <xdr:rowOff>0</xdr:rowOff>
    </xdr:from>
    <xdr:to>
      <xdr:col>5</xdr:col>
      <xdr:colOff>808557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812825</xdr:colOff>
      <xdr:row>0</xdr:row>
      <xdr:rowOff>4234</xdr:rowOff>
    </xdr:from>
    <xdr:to>
      <xdr:col>7</xdr:col>
      <xdr:colOff>209539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7</xdr:col>
      <xdr:colOff>224386</xdr:colOff>
      <xdr:row>0</xdr:row>
      <xdr:rowOff>0</xdr:rowOff>
    </xdr:from>
    <xdr:to>
      <xdr:col>8</xdr:col>
      <xdr:colOff>626516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641368</xdr:colOff>
      <xdr:row>0</xdr:row>
      <xdr:rowOff>0</xdr:rowOff>
    </xdr:from>
    <xdr:to>
      <xdr:col>10</xdr:col>
      <xdr:colOff>38082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857220</xdr:colOff>
      <xdr:row>1</xdr:row>
      <xdr:rowOff>105830</xdr:rowOff>
    </xdr:from>
    <xdr:to>
      <xdr:col>4</xdr:col>
      <xdr:colOff>357704</xdr:colOff>
      <xdr:row>2</xdr:row>
      <xdr:rowOff>12830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/>
        </xdr:cNvSpPr>
      </xdr:nvSpPr>
      <xdr:spPr>
        <a:xfrm>
          <a:off x="1121803" y="603247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SIMPLES NACIONAL</a:t>
          </a:r>
        </a:p>
      </xdr:txBody>
    </xdr:sp>
    <xdr:clientData/>
  </xdr:twoCellAnchor>
  <xdr:twoCellAnchor editAs="absolute">
    <xdr:from>
      <xdr:col>4</xdr:col>
      <xdr:colOff>364021</xdr:colOff>
      <xdr:row>1</xdr:row>
      <xdr:rowOff>105830</xdr:rowOff>
    </xdr:from>
    <xdr:to>
      <xdr:col>5</xdr:col>
      <xdr:colOff>954588</xdr:colOff>
      <xdr:row>2</xdr:row>
      <xdr:rowOff>12830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/>
        </xdr:cNvSpPr>
      </xdr:nvSpPr>
      <xdr:spPr>
        <a:xfrm>
          <a:off x="2724104" y="603247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LUCRO REAL</a:t>
          </a:r>
        </a:p>
      </xdr:txBody>
    </xdr:sp>
    <xdr:clientData/>
  </xdr:twoCellAnchor>
  <xdr:twoCellAnchor editAs="absolute">
    <xdr:from>
      <xdr:col>5</xdr:col>
      <xdr:colOff>971496</xdr:colOff>
      <xdr:row>1</xdr:row>
      <xdr:rowOff>110064</xdr:rowOff>
    </xdr:from>
    <xdr:to>
      <xdr:col>7</xdr:col>
      <xdr:colOff>556647</xdr:colOff>
      <xdr:row>2</xdr:row>
      <xdr:rowOff>17064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/>
        </xdr:cNvSpPr>
      </xdr:nvSpPr>
      <xdr:spPr>
        <a:xfrm>
          <a:off x="4336996" y="607481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LUCRO PRESUMIDO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1079537</xdr:colOff>
      <xdr:row>0</xdr:row>
      <xdr:rowOff>0</xdr:rowOff>
    </xdr:from>
    <xdr:to>
      <xdr:col>3</xdr:col>
      <xdr:colOff>867834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3</xdr:col>
      <xdr:colOff>882677</xdr:colOff>
      <xdr:row>0</xdr:row>
      <xdr:rowOff>0</xdr:rowOff>
    </xdr:from>
    <xdr:to>
      <xdr:col>5</xdr:col>
      <xdr:colOff>469890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474158</xdr:colOff>
      <xdr:row>0</xdr:row>
      <xdr:rowOff>4234</xdr:rowOff>
    </xdr:from>
    <xdr:to>
      <xdr:col>7</xdr:col>
      <xdr:colOff>61372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7</xdr:col>
      <xdr:colOff>76219</xdr:colOff>
      <xdr:row>0</xdr:row>
      <xdr:rowOff>0</xdr:rowOff>
    </xdr:from>
    <xdr:to>
      <xdr:col>8</xdr:col>
      <xdr:colOff>573599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588451</xdr:colOff>
      <xdr:row>0</xdr:row>
      <xdr:rowOff>0</xdr:rowOff>
    </xdr:from>
    <xdr:to>
      <xdr:col>10</xdr:col>
      <xdr:colOff>175665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846637</xdr:colOff>
      <xdr:row>1</xdr:row>
      <xdr:rowOff>95247</xdr:rowOff>
    </xdr:from>
    <xdr:to>
      <xdr:col>3</xdr:col>
      <xdr:colOff>823371</xdr:colOff>
      <xdr:row>2</xdr:row>
      <xdr:rowOff>2247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/>
        </xdr:cNvSpPr>
      </xdr:nvSpPr>
      <xdr:spPr>
        <a:xfrm>
          <a:off x="1111220" y="592664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SIMPLES NACIONAL</a:t>
          </a:r>
        </a:p>
      </xdr:txBody>
    </xdr:sp>
    <xdr:clientData/>
  </xdr:twoCellAnchor>
  <xdr:twoCellAnchor editAs="absolute">
    <xdr:from>
      <xdr:col>3</xdr:col>
      <xdr:colOff>829688</xdr:colOff>
      <xdr:row>1</xdr:row>
      <xdr:rowOff>95247</xdr:rowOff>
    </xdr:from>
    <xdr:to>
      <xdr:col>5</xdr:col>
      <xdr:colOff>605338</xdr:colOff>
      <xdr:row>2</xdr:row>
      <xdr:rowOff>2247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/>
        </xdr:cNvSpPr>
      </xdr:nvSpPr>
      <xdr:spPr>
        <a:xfrm>
          <a:off x="2713521" y="592664"/>
          <a:ext cx="1595984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LUCRO REAL</a:t>
          </a:r>
        </a:p>
      </xdr:txBody>
    </xdr:sp>
    <xdr:clientData/>
  </xdr:twoCellAnchor>
  <xdr:twoCellAnchor editAs="absolute">
    <xdr:from>
      <xdr:col>5</xdr:col>
      <xdr:colOff>622246</xdr:colOff>
      <xdr:row>1</xdr:row>
      <xdr:rowOff>99481</xdr:rowOff>
    </xdr:from>
    <xdr:to>
      <xdr:col>7</xdr:col>
      <xdr:colOff>397897</xdr:colOff>
      <xdr:row>2</xdr:row>
      <xdr:rowOff>6481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/>
        </xdr:cNvSpPr>
      </xdr:nvSpPr>
      <xdr:spPr>
        <a:xfrm>
          <a:off x="4326413" y="596898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LUCRO PRESUMIDO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9</xdr:row>
      <xdr:rowOff>100541</xdr:rowOff>
    </xdr:from>
    <xdr:to>
      <xdr:col>15</xdr:col>
      <xdr:colOff>10583</xdr:colOff>
      <xdr:row>14</xdr:row>
      <xdr:rowOff>185207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1079537</xdr:colOff>
      <xdr:row>0</xdr:row>
      <xdr:rowOff>0</xdr:rowOff>
    </xdr:from>
    <xdr:to>
      <xdr:col>3</xdr:col>
      <xdr:colOff>825500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3</xdr:col>
      <xdr:colOff>840343</xdr:colOff>
      <xdr:row>0</xdr:row>
      <xdr:rowOff>0</xdr:rowOff>
    </xdr:from>
    <xdr:to>
      <xdr:col>5</xdr:col>
      <xdr:colOff>321724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5</xdr:col>
      <xdr:colOff>325992</xdr:colOff>
      <xdr:row>0</xdr:row>
      <xdr:rowOff>4234</xdr:rowOff>
    </xdr:from>
    <xdr:to>
      <xdr:col>6</xdr:col>
      <xdr:colOff>770455</xdr:colOff>
      <xdr:row>1</xdr:row>
      <xdr:rowOff>7144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6</xdr:col>
      <xdr:colOff>785302</xdr:colOff>
      <xdr:row>0</xdr:row>
      <xdr:rowOff>0</xdr:rowOff>
    </xdr:from>
    <xdr:to>
      <xdr:col>8</xdr:col>
      <xdr:colOff>266683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281535</xdr:colOff>
      <xdr:row>0</xdr:row>
      <xdr:rowOff>0</xdr:rowOff>
    </xdr:from>
    <xdr:to>
      <xdr:col>9</xdr:col>
      <xdr:colOff>725998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2</xdr:col>
      <xdr:colOff>825474</xdr:colOff>
      <xdr:row>1</xdr:row>
      <xdr:rowOff>95247</xdr:rowOff>
    </xdr:from>
    <xdr:to>
      <xdr:col>3</xdr:col>
      <xdr:colOff>759874</xdr:colOff>
      <xdr:row>2</xdr:row>
      <xdr:rowOff>2247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/>
        </xdr:cNvSpPr>
      </xdr:nvSpPr>
      <xdr:spPr>
        <a:xfrm>
          <a:off x="1090057" y="592664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IMPOSTOS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169370</xdr:colOff>
      <xdr:row>0</xdr:row>
      <xdr:rowOff>0</xdr:rowOff>
    </xdr:from>
    <xdr:to>
      <xdr:col>3</xdr:col>
      <xdr:colOff>1576917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>
        <a:xfrm>
          <a:off x="134412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IMPOSTOS</a:t>
          </a:r>
        </a:p>
      </xdr:txBody>
    </xdr:sp>
    <xdr:clientData/>
  </xdr:twoCellAnchor>
  <xdr:twoCellAnchor editAs="absolute">
    <xdr:from>
      <xdr:col>3</xdr:col>
      <xdr:colOff>1591760</xdr:colOff>
      <xdr:row>0</xdr:row>
      <xdr:rowOff>0</xdr:rowOff>
    </xdr:from>
    <xdr:to>
      <xdr:col>3</xdr:col>
      <xdr:colOff>2999307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>
        <a:xfrm>
          <a:off x="2766510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PREVISÃO DE FATURAMENTO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3</xdr:col>
      <xdr:colOff>3003575</xdr:colOff>
      <xdr:row>0</xdr:row>
      <xdr:rowOff>4234</xdr:rowOff>
    </xdr:from>
    <xdr:to>
      <xdr:col>4</xdr:col>
      <xdr:colOff>749289</xdr:colOff>
      <xdr:row>1</xdr:row>
      <xdr:rowOff>7144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/>
        </xdr:cNvSpPr>
      </xdr:nvSpPr>
      <xdr:spPr>
        <a:xfrm>
          <a:off x="4178325" y="4234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PLANEJAMENTO TRIBUTÁRIO</a:t>
          </a:r>
          <a:endParaRPr lang="pt-BR">
            <a:effectLst/>
          </a:endParaRPr>
        </a:p>
      </xdr:txBody>
    </xdr:sp>
    <xdr:clientData/>
  </xdr:twoCellAnchor>
  <xdr:twoCellAnchor editAs="absolute">
    <xdr:from>
      <xdr:col>4</xdr:col>
      <xdr:colOff>764136</xdr:colOff>
      <xdr:row>0</xdr:row>
      <xdr:rowOff>0</xdr:rowOff>
    </xdr:from>
    <xdr:to>
      <xdr:col>5</xdr:col>
      <xdr:colOff>86766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>
        <a:xfrm>
          <a:off x="5600719" y="0"/>
          <a:ext cx="1407547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5</xdr:col>
      <xdr:colOff>101618</xdr:colOff>
      <xdr:row>0</xdr:row>
      <xdr:rowOff>0</xdr:rowOff>
    </xdr:from>
    <xdr:to>
      <xdr:col>5</xdr:col>
      <xdr:colOff>1509165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/>
        </xdr:cNvSpPr>
      </xdr:nvSpPr>
      <xdr:spPr>
        <a:xfrm>
          <a:off x="7023118" y="0"/>
          <a:ext cx="1407547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2</xdr:col>
      <xdr:colOff>825471</xdr:colOff>
      <xdr:row>1</xdr:row>
      <xdr:rowOff>95247</xdr:rowOff>
    </xdr:from>
    <xdr:to>
      <xdr:col>3</xdr:col>
      <xdr:colOff>1511288</xdr:colOff>
      <xdr:row>2</xdr:row>
      <xdr:rowOff>2247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/>
        </xdr:cNvSpPr>
      </xdr:nvSpPr>
      <xdr:spPr>
        <a:xfrm>
          <a:off x="1090054" y="592664"/>
          <a:ext cx="1595984" cy="28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30481</xdr:rowOff>
    </xdr:from>
    <xdr:to>
      <xdr:col>6</xdr:col>
      <xdr:colOff>209550</xdr:colOff>
      <xdr:row>12</xdr:row>
      <xdr:rowOff>94983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052795-1C6D-41E7-AFCE-A142DB59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548641"/>
          <a:ext cx="3912870" cy="204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ominandoacontabilidade.com/cursos-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XFD305"/>
  <sheetViews>
    <sheetView showGridLines="0" tabSelected="1" zoomScale="76" zoomScaleNormal="76" zoomScalePageLayoutView="80" workbookViewId="0">
      <selection activeCell="L9" sqref="L9"/>
    </sheetView>
  </sheetViews>
  <sheetFormatPr defaultColWidth="11" defaultRowHeight="15.6"/>
  <cols>
    <col min="1" max="1" width="2.09765625" style="6" customWidth="1"/>
    <col min="2" max="2" width="1.3984375" style="6" customWidth="1"/>
    <col min="3" max="8" width="18.59765625" style="6" customWidth="1"/>
    <col min="9" max="9" width="18.59765625" customWidth="1"/>
    <col min="10" max="23" width="10.69921875" style="6" customWidth="1"/>
    <col min="24" max="16384" width="11" style="6"/>
  </cols>
  <sheetData>
    <row r="1" spans="1:16384" s="31" customFormat="1" ht="39" customHeight="1"/>
    <row r="2" spans="1:16384" s="2" customFormat="1" ht="30" customHeight="1">
      <c r="D2" s="5"/>
      <c r="E2" s="5"/>
      <c r="F2" s="5"/>
      <c r="G2" s="5"/>
      <c r="H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D4" s="10"/>
      <c r="E4" s="10"/>
      <c r="F4" s="10"/>
      <c r="G4" s="10"/>
      <c r="H4" s="10"/>
    </row>
    <row r="5" spans="1:16384" ht="30" customHeight="1" thickTop="1" thickBot="1">
      <c r="C5" s="26" t="s">
        <v>74</v>
      </c>
      <c r="D5" s="26" t="s">
        <v>63</v>
      </c>
      <c r="E5" s="26" t="s">
        <v>61</v>
      </c>
      <c r="F5" s="26" t="s">
        <v>12</v>
      </c>
      <c r="G5" s="26" t="s">
        <v>13</v>
      </c>
      <c r="H5" s="26" t="s">
        <v>14</v>
      </c>
      <c r="I5" s="26" t="s">
        <v>72</v>
      </c>
    </row>
    <row r="6" spans="1:16384" ht="30" customHeight="1" thickTop="1">
      <c r="C6" s="32" t="s">
        <v>15</v>
      </c>
      <c r="D6" s="32" t="s">
        <v>16</v>
      </c>
      <c r="E6" s="32" t="s">
        <v>66</v>
      </c>
      <c r="F6" s="33">
        <v>0</v>
      </c>
      <c r="G6" s="33">
        <v>180000</v>
      </c>
      <c r="H6" s="34">
        <v>4.4999999999999998E-2</v>
      </c>
      <c r="I6" s="35">
        <v>0</v>
      </c>
    </row>
    <row r="7" spans="1:16384" ht="30" customHeight="1">
      <c r="C7" s="32" t="s">
        <v>15</v>
      </c>
      <c r="D7" s="32" t="s">
        <v>16</v>
      </c>
      <c r="E7" s="32" t="s">
        <v>67</v>
      </c>
      <c r="F7" s="33">
        <v>180000.01</v>
      </c>
      <c r="G7" s="33">
        <v>360000</v>
      </c>
      <c r="H7" s="34">
        <v>7.8E-2</v>
      </c>
      <c r="I7" s="35">
        <v>5940</v>
      </c>
    </row>
    <row r="8" spans="1:16384" ht="30" customHeight="1">
      <c r="C8" s="32" t="s">
        <v>15</v>
      </c>
      <c r="D8" s="32" t="s">
        <v>16</v>
      </c>
      <c r="E8" s="32" t="s">
        <v>68</v>
      </c>
      <c r="F8" s="33">
        <v>360000.01</v>
      </c>
      <c r="G8" s="33">
        <v>720000</v>
      </c>
      <c r="H8" s="49">
        <v>0.1</v>
      </c>
      <c r="I8" s="50">
        <v>13860</v>
      </c>
    </row>
    <row r="9" spans="1:16384" ht="30" customHeight="1">
      <c r="C9" s="32" t="s">
        <v>15</v>
      </c>
      <c r="D9" s="32" t="s">
        <v>16</v>
      </c>
      <c r="E9" s="32" t="s">
        <v>69</v>
      </c>
      <c r="F9" s="33">
        <v>720000.01</v>
      </c>
      <c r="G9" s="33">
        <v>1800000</v>
      </c>
      <c r="H9" s="49">
        <v>0.112</v>
      </c>
      <c r="I9" s="50">
        <v>22500</v>
      </c>
    </row>
    <row r="10" spans="1:16384" ht="30" customHeight="1">
      <c r="C10" s="32" t="s">
        <v>15</v>
      </c>
      <c r="D10" s="32" t="s">
        <v>16</v>
      </c>
      <c r="E10" s="32" t="s">
        <v>70</v>
      </c>
      <c r="F10" s="33">
        <v>1800000.01</v>
      </c>
      <c r="G10" s="33">
        <v>3600000</v>
      </c>
      <c r="H10" s="49">
        <v>0.14699999999999999</v>
      </c>
      <c r="I10" s="50">
        <v>85500</v>
      </c>
    </row>
    <row r="11" spans="1:16384" ht="30" customHeight="1">
      <c r="C11" s="32" t="s">
        <v>15</v>
      </c>
      <c r="D11" s="32" t="s">
        <v>16</v>
      </c>
      <c r="E11" s="32" t="s">
        <v>71</v>
      </c>
      <c r="F11" s="33">
        <v>3600000.01</v>
      </c>
      <c r="G11" s="33">
        <v>4800000</v>
      </c>
      <c r="H11" s="49">
        <v>0.3</v>
      </c>
      <c r="I11" s="50">
        <v>720000</v>
      </c>
    </row>
    <row r="12" spans="1:16384" ht="30" customHeight="1">
      <c r="C12" s="32" t="s">
        <v>17</v>
      </c>
      <c r="D12" s="32" t="s">
        <v>16</v>
      </c>
      <c r="E12" s="32" t="s">
        <v>66</v>
      </c>
      <c r="F12" s="33">
        <v>0</v>
      </c>
      <c r="G12" s="33">
        <v>180000</v>
      </c>
      <c r="H12" s="49">
        <v>0.06</v>
      </c>
      <c r="I12" s="50">
        <v>0</v>
      </c>
    </row>
    <row r="13" spans="1:16384" ht="30" customHeight="1">
      <c r="C13" s="32" t="s">
        <v>17</v>
      </c>
      <c r="D13" s="32" t="s">
        <v>16</v>
      </c>
      <c r="E13" s="32" t="s">
        <v>67</v>
      </c>
      <c r="F13" s="33">
        <v>180000.01</v>
      </c>
      <c r="G13" s="33">
        <v>360000</v>
      </c>
      <c r="H13" s="49">
        <v>0.112</v>
      </c>
      <c r="I13" s="50">
        <v>9360</v>
      </c>
    </row>
    <row r="14" spans="1:16384" ht="30" customHeight="1">
      <c r="C14" s="32" t="s">
        <v>17</v>
      </c>
      <c r="D14" s="32" t="s">
        <v>16</v>
      </c>
      <c r="E14" s="32" t="s">
        <v>68</v>
      </c>
      <c r="F14" s="33">
        <v>360000.01</v>
      </c>
      <c r="G14" s="33">
        <v>720000</v>
      </c>
      <c r="H14" s="49">
        <v>0.13500000000000001</v>
      </c>
      <c r="I14" s="50">
        <v>17640</v>
      </c>
    </row>
    <row r="15" spans="1:16384" ht="30" customHeight="1">
      <c r="C15" s="32" t="s">
        <v>17</v>
      </c>
      <c r="D15" s="32" t="s">
        <v>16</v>
      </c>
      <c r="E15" s="32" t="s">
        <v>69</v>
      </c>
      <c r="F15" s="33">
        <v>720000.01</v>
      </c>
      <c r="G15" s="33">
        <v>1800000</v>
      </c>
      <c r="H15" s="34">
        <v>0.16</v>
      </c>
      <c r="I15" s="35">
        <v>35640</v>
      </c>
    </row>
    <row r="16" spans="1:16384" ht="30" customHeight="1">
      <c r="C16" s="32" t="s">
        <v>17</v>
      </c>
      <c r="D16" s="32" t="s">
        <v>16</v>
      </c>
      <c r="E16" s="32" t="s">
        <v>70</v>
      </c>
      <c r="F16" s="33">
        <v>1800000.01</v>
      </c>
      <c r="G16" s="33">
        <v>3600000</v>
      </c>
      <c r="H16" s="34">
        <v>0.21</v>
      </c>
      <c r="I16" s="35">
        <v>125640</v>
      </c>
    </row>
    <row r="17" spans="3:9" ht="30" customHeight="1">
      <c r="C17" s="32" t="s">
        <v>17</v>
      </c>
      <c r="D17" s="32" t="s">
        <v>16</v>
      </c>
      <c r="E17" s="32" t="s">
        <v>71</v>
      </c>
      <c r="F17" s="33">
        <v>3600000.01</v>
      </c>
      <c r="G17" s="33">
        <v>4800000</v>
      </c>
      <c r="H17" s="34">
        <v>0.33</v>
      </c>
      <c r="I17" s="35">
        <v>648000</v>
      </c>
    </row>
    <row r="18" spans="3:9" ht="30" customHeight="1" thickBot="1">
      <c r="I18" s="6"/>
    </row>
    <row r="19" spans="3:9" ht="30" customHeight="1" thickTop="1" thickBot="1">
      <c r="C19" s="26" t="s">
        <v>74</v>
      </c>
      <c r="D19" s="26" t="s">
        <v>63</v>
      </c>
      <c r="E19" s="26" t="s">
        <v>61</v>
      </c>
      <c r="F19" s="26" t="s">
        <v>12</v>
      </c>
      <c r="G19" s="26" t="s">
        <v>13</v>
      </c>
      <c r="H19" s="26" t="s">
        <v>14</v>
      </c>
      <c r="I19" s="6"/>
    </row>
    <row r="20" spans="3:9" ht="30" customHeight="1" thickTop="1">
      <c r="C20" s="32" t="s">
        <v>76</v>
      </c>
      <c r="D20" s="32" t="s">
        <v>11</v>
      </c>
      <c r="E20" s="32" t="s">
        <v>77</v>
      </c>
      <c r="F20" s="33"/>
      <c r="G20" s="33"/>
      <c r="H20" s="49">
        <v>0.09</v>
      </c>
      <c r="I20" s="6"/>
    </row>
    <row r="21" spans="3:9" ht="30" customHeight="1">
      <c r="C21" s="32" t="s">
        <v>76</v>
      </c>
      <c r="D21" s="32" t="s">
        <v>11</v>
      </c>
      <c r="E21" s="32" t="s">
        <v>18</v>
      </c>
      <c r="F21" s="33">
        <v>0</v>
      </c>
      <c r="G21" s="33">
        <v>20000</v>
      </c>
      <c r="H21" s="49">
        <v>0.15</v>
      </c>
      <c r="I21" s="6"/>
    </row>
    <row r="22" spans="3:9" ht="30" customHeight="1">
      <c r="C22" s="32" t="s">
        <v>76</v>
      </c>
      <c r="D22" s="32" t="s">
        <v>11</v>
      </c>
      <c r="E22" s="32" t="s">
        <v>18</v>
      </c>
      <c r="F22" s="33">
        <v>20000</v>
      </c>
      <c r="G22" s="33"/>
      <c r="H22" s="49">
        <v>0.1</v>
      </c>
      <c r="I22" s="6"/>
    </row>
    <row r="23" spans="3:9" ht="30" customHeight="1">
      <c r="C23" s="32" t="s">
        <v>75</v>
      </c>
      <c r="D23" s="32" t="s">
        <v>11</v>
      </c>
      <c r="E23" s="32" t="s">
        <v>5</v>
      </c>
      <c r="F23" s="33"/>
      <c r="G23" s="33"/>
      <c r="H23" s="49">
        <v>0.05</v>
      </c>
      <c r="I23" s="6"/>
    </row>
    <row r="24" spans="3:9" ht="30" customHeight="1">
      <c r="C24" s="32" t="s">
        <v>75</v>
      </c>
      <c r="D24" s="32" t="s">
        <v>11</v>
      </c>
      <c r="E24" s="32" t="s">
        <v>6</v>
      </c>
      <c r="F24" s="33"/>
      <c r="G24" s="33"/>
      <c r="H24" s="49">
        <v>0</v>
      </c>
      <c r="I24" s="6"/>
    </row>
    <row r="25" spans="3:9" ht="30" customHeight="1">
      <c r="C25" s="32" t="s">
        <v>75</v>
      </c>
      <c r="D25" s="32" t="s">
        <v>11</v>
      </c>
      <c r="E25" s="32" t="s">
        <v>7</v>
      </c>
      <c r="F25" s="33"/>
      <c r="G25" s="33"/>
      <c r="H25" s="49">
        <v>1.6500000000000001E-2</v>
      </c>
      <c r="I25" s="6"/>
    </row>
    <row r="26" spans="3:9" ht="30" customHeight="1">
      <c r="C26" s="32" t="s">
        <v>75</v>
      </c>
      <c r="D26" s="32" t="s">
        <v>11</v>
      </c>
      <c r="E26" s="32" t="s">
        <v>8</v>
      </c>
      <c r="F26" s="33"/>
      <c r="G26" s="33"/>
      <c r="H26" s="49">
        <v>7.5999999999999998E-2</v>
      </c>
      <c r="I26" s="6"/>
    </row>
    <row r="27" spans="3:9" ht="30" customHeight="1">
      <c r="C27" s="32" t="s">
        <v>75</v>
      </c>
      <c r="D27" s="32" t="s">
        <v>11</v>
      </c>
      <c r="E27" s="32" t="s">
        <v>9</v>
      </c>
      <c r="F27" s="33"/>
      <c r="G27" s="33"/>
      <c r="H27" s="49">
        <v>0.05</v>
      </c>
      <c r="I27" s="6"/>
    </row>
    <row r="28" spans="3:9" ht="30" customHeight="1" thickBot="1">
      <c r="I28" s="6"/>
    </row>
    <row r="29" spans="3:9" ht="30" customHeight="1" thickTop="1" thickBot="1">
      <c r="C29" s="26" t="s">
        <v>74</v>
      </c>
      <c r="D29" s="26" t="s">
        <v>63</v>
      </c>
      <c r="E29" s="26" t="s">
        <v>61</v>
      </c>
      <c r="F29" s="26" t="s">
        <v>12</v>
      </c>
      <c r="G29" s="26" t="s">
        <v>13</v>
      </c>
      <c r="H29" s="26" t="s">
        <v>19</v>
      </c>
      <c r="I29" s="26" t="s">
        <v>14</v>
      </c>
    </row>
    <row r="30" spans="3:9" ht="30" customHeight="1" thickTop="1">
      <c r="C30" s="32" t="s">
        <v>15</v>
      </c>
      <c r="D30" s="32" t="s">
        <v>10</v>
      </c>
      <c r="E30" s="32" t="s">
        <v>18</v>
      </c>
      <c r="F30" s="33">
        <v>0</v>
      </c>
      <c r="G30" s="33">
        <v>60000</v>
      </c>
      <c r="H30" s="49">
        <v>0.08</v>
      </c>
      <c r="I30" s="49">
        <v>0.15</v>
      </c>
    </row>
    <row r="31" spans="3:9" ht="30" customHeight="1">
      <c r="C31" s="32" t="s">
        <v>15</v>
      </c>
      <c r="D31" s="32" t="s">
        <v>10</v>
      </c>
      <c r="E31" s="32" t="s">
        <v>18</v>
      </c>
      <c r="F31" s="33">
        <v>60000</v>
      </c>
      <c r="G31" s="33"/>
      <c r="H31" s="49">
        <v>0.08</v>
      </c>
      <c r="I31" s="49">
        <v>0.1</v>
      </c>
    </row>
    <row r="32" spans="3:9" ht="30" customHeight="1">
      <c r="C32" s="32" t="s">
        <v>15</v>
      </c>
      <c r="D32" s="32" t="s">
        <v>10</v>
      </c>
      <c r="E32" s="32" t="s">
        <v>77</v>
      </c>
      <c r="F32" s="33"/>
      <c r="G32" s="33"/>
      <c r="H32" s="49">
        <v>0.12</v>
      </c>
      <c r="I32" s="49">
        <v>0.09</v>
      </c>
    </row>
    <row r="33" spans="3:9" ht="30" customHeight="1">
      <c r="C33" s="32" t="s">
        <v>17</v>
      </c>
      <c r="D33" s="32" t="s">
        <v>10</v>
      </c>
      <c r="E33" s="32" t="s">
        <v>18</v>
      </c>
      <c r="F33" s="33">
        <v>0</v>
      </c>
      <c r="G33" s="33">
        <v>60000</v>
      </c>
      <c r="H33" s="49">
        <v>0.16</v>
      </c>
      <c r="I33" s="49">
        <v>0.15</v>
      </c>
    </row>
    <row r="34" spans="3:9" ht="30" customHeight="1">
      <c r="C34" s="32" t="s">
        <v>17</v>
      </c>
      <c r="D34" s="32" t="s">
        <v>10</v>
      </c>
      <c r="E34" s="32" t="s">
        <v>18</v>
      </c>
      <c r="F34" s="33">
        <v>60000</v>
      </c>
      <c r="G34" s="33">
        <v>120000</v>
      </c>
      <c r="H34" s="49">
        <v>0.16</v>
      </c>
      <c r="I34" s="49">
        <v>0.1</v>
      </c>
    </row>
    <row r="35" spans="3:9" ht="30" customHeight="1">
      <c r="C35" s="32" t="s">
        <v>17</v>
      </c>
      <c r="D35" s="32" t="s">
        <v>10</v>
      </c>
      <c r="E35" s="32" t="s">
        <v>77</v>
      </c>
      <c r="F35" s="33"/>
      <c r="G35" s="33"/>
      <c r="H35" s="49">
        <v>0.32</v>
      </c>
      <c r="I35" s="49">
        <v>0.09</v>
      </c>
    </row>
    <row r="36" spans="3:9" ht="30" customHeight="1">
      <c r="C36" s="32" t="s">
        <v>75</v>
      </c>
      <c r="D36" s="32" t="s">
        <v>10</v>
      </c>
      <c r="E36" s="32" t="s">
        <v>5</v>
      </c>
      <c r="F36" s="33"/>
      <c r="G36" s="33"/>
      <c r="H36" s="50"/>
      <c r="I36" s="49">
        <v>0.05</v>
      </c>
    </row>
    <row r="37" spans="3:9" ht="30" customHeight="1">
      <c r="C37" s="32" t="s">
        <v>75</v>
      </c>
      <c r="D37" s="32" t="s">
        <v>10</v>
      </c>
      <c r="E37" s="32" t="s">
        <v>6</v>
      </c>
      <c r="F37" s="33"/>
      <c r="G37" s="33"/>
      <c r="H37" s="50"/>
      <c r="I37" s="49">
        <v>0</v>
      </c>
    </row>
    <row r="38" spans="3:9" ht="30" customHeight="1">
      <c r="C38" s="32" t="s">
        <v>75</v>
      </c>
      <c r="D38" s="32" t="s">
        <v>10</v>
      </c>
      <c r="E38" s="32" t="s">
        <v>7</v>
      </c>
      <c r="F38" s="33"/>
      <c r="G38" s="33"/>
      <c r="H38" s="50"/>
      <c r="I38" s="49">
        <v>6.4999999999999997E-3</v>
      </c>
    </row>
    <row r="39" spans="3:9" ht="30" customHeight="1">
      <c r="C39" s="32" t="s">
        <v>75</v>
      </c>
      <c r="D39" s="32" t="s">
        <v>10</v>
      </c>
      <c r="E39" s="32" t="s">
        <v>8</v>
      </c>
      <c r="F39" s="33"/>
      <c r="G39" s="33"/>
      <c r="H39" s="50"/>
      <c r="I39" s="49">
        <v>0.03</v>
      </c>
    </row>
    <row r="40" spans="3:9" ht="30" customHeight="1">
      <c r="C40" s="32" t="s">
        <v>75</v>
      </c>
      <c r="D40" s="32" t="s">
        <v>10</v>
      </c>
      <c r="E40" s="32" t="s">
        <v>9</v>
      </c>
      <c r="F40" s="33"/>
      <c r="G40" s="33"/>
      <c r="H40" s="50"/>
      <c r="I40" s="49">
        <v>0.05</v>
      </c>
    </row>
    <row r="41" spans="3:9" ht="30" customHeight="1"/>
    <row r="42" spans="3:9" ht="30" customHeight="1"/>
    <row r="43" spans="3:9" ht="30" customHeight="1"/>
    <row r="44" spans="3:9" ht="30" customHeight="1"/>
    <row r="45" spans="3:9" ht="30" customHeight="1"/>
    <row r="46" spans="3:9" ht="30" customHeight="1"/>
    <row r="47" spans="3:9" ht="30" customHeight="1"/>
    <row r="48" spans="3: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576"/>
  <sheetViews>
    <sheetView showGridLines="0" zoomScale="66" zoomScaleNormal="66" zoomScalePageLayoutView="80" workbookViewId="0">
      <pane ySplit="2" topLeftCell="A3" activePane="bottomLeft" state="frozen"/>
      <selection activeCell="G3" sqref="G3"/>
      <selection pane="bottomLeft" activeCell="O8" sqref="O8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17.59765625" style="6" customWidth="1"/>
    <col min="4" max="15" width="13.19921875" style="6" customWidth="1"/>
    <col min="16" max="22" width="10.69921875" style="6" customWidth="1"/>
    <col min="23" max="16384" width="11" style="6"/>
  </cols>
  <sheetData>
    <row r="1" spans="1:16384" s="24" customFormat="1" ht="39" customHeight="1">
      <c r="D1" s="7"/>
    </row>
    <row r="2" spans="1:16384" s="2" customFormat="1" ht="30" customHeight="1">
      <c r="C2" s="5"/>
      <c r="D2" s="5"/>
      <c r="E2" s="5"/>
      <c r="F2" s="5"/>
      <c r="G2" s="5"/>
      <c r="H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C4" s="10"/>
      <c r="D4" s="10"/>
      <c r="E4" s="10"/>
      <c r="F4" s="10"/>
      <c r="G4" s="10"/>
      <c r="H4" s="10"/>
    </row>
    <row r="5" spans="1:16384" ht="30" customHeight="1" thickTop="1" thickBot="1">
      <c r="C5" s="26" t="s">
        <v>32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</row>
    <row r="6" spans="1:16384" ht="30" customHeight="1" thickTop="1" thickBot="1">
      <c r="C6" s="26" t="s">
        <v>36</v>
      </c>
      <c r="D6" s="36">
        <v>20000</v>
      </c>
      <c r="E6" s="36">
        <v>20000</v>
      </c>
      <c r="F6" s="36">
        <v>25000</v>
      </c>
      <c r="G6" s="36">
        <v>15000</v>
      </c>
      <c r="H6" s="36">
        <v>10000</v>
      </c>
      <c r="I6" s="36">
        <v>35000</v>
      </c>
      <c r="J6" s="51">
        <v>15000</v>
      </c>
      <c r="K6" s="51">
        <v>20000</v>
      </c>
      <c r="L6" s="51">
        <v>35000</v>
      </c>
      <c r="M6" s="51">
        <v>25000</v>
      </c>
      <c r="N6" s="51">
        <v>20000</v>
      </c>
      <c r="O6" s="51">
        <v>15000</v>
      </c>
    </row>
    <row r="7" spans="1:16384" ht="30" customHeight="1" thickTop="1" thickBot="1">
      <c r="C7" s="26" t="s">
        <v>35</v>
      </c>
      <c r="D7" s="36">
        <v>1</v>
      </c>
      <c r="E7" s="36">
        <v>1</v>
      </c>
      <c r="F7" s="36">
        <v>1</v>
      </c>
      <c r="G7" s="36">
        <v>1</v>
      </c>
      <c r="H7" s="36">
        <v>1</v>
      </c>
      <c r="I7" s="36">
        <v>1</v>
      </c>
      <c r="J7" s="51">
        <v>1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</row>
    <row r="8" spans="1:16384" ht="30" customHeight="1" thickTop="1" thickBot="1">
      <c r="C8" s="26" t="s">
        <v>37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</row>
    <row r="9" spans="1:16384" ht="30" customHeight="1" thickTop="1" thickBot="1">
      <c r="C9" s="26" t="s">
        <v>38</v>
      </c>
      <c r="D9" s="36">
        <v>1500</v>
      </c>
      <c r="E9" s="36">
        <v>1000</v>
      </c>
      <c r="F9" s="36">
        <v>0</v>
      </c>
      <c r="G9" s="36">
        <v>1500</v>
      </c>
      <c r="H9" s="36">
        <v>0</v>
      </c>
      <c r="I9" s="36">
        <v>1500</v>
      </c>
      <c r="J9" s="51">
        <v>0</v>
      </c>
      <c r="K9" s="51">
        <v>350</v>
      </c>
      <c r="L9" s="51">
        <v>850</v>
      </c>
      <c r="M9" s="51">
        <v>900</v>
      </c>
      <c r="N9" s="51">
        <v>1200</v>
      </c>
      <c r="O9" s="51">
        <v>1200</v>
      </c>
    </row>
    <row r="10" spans="1:16384" ht="30" customHeight="1" thickTop="1" thickBot="1">
      <c r="C10" s="26" t="s">
        <v>39</v>
      </c>
      <c r="D10" s="36">
        <v>2000</v>
      </c>
      <c r="E10" s="36">
        <v>2000</v>
      </c>
      <c r="F10" s="36">
        <v>2500</v>
      </c>
      <c r="G10" s="36">
        <v>1500</v>
      </c>
      <c r="H10" s="36">
        <v>1000</v>
      </c>
      <c r="I10" s="36">
        <v>3500</v>
      </c>
      <c r="J10" s="51">
        <v>1500</v>
      </c>
      <c r="K10" s="51">
        <v>2000</v>
      </c>
      <c r="L10" s="51">
        <v>2500</v>
      </c>
      <c r="M10" s="51">
        <v>2500</v>
      </c>
      <c r="N10" s="51">
        <v>2000</v>
      </c>
      <c r="O10" s="51">
        <v>1500</v>
      </c>
    </row>
    <row r="11" spans="1:16384" ht="30" customHeight="1" thickTop="1"/>
    <row r="12" spans="1:16384" ht="30" customHeight="1"/>
    <row r="13" spans="1:16384" ht="30" customHeight="1"/>
    <row r="14" spans="1:16384" ht="30" customHeight="1"/>
    <row r="15" spans="1:16384" ht="30" customHeight="1"/>
    <row r="16" spans="1:16384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573"/>
  <sheetViews>
    <sheetView showGridLines="0" zoomScale="69" zoomScaleNormal="69" zoomScalePageLayoutView="80" workbookViewId="0">
      <pane ySplit="2" topLeftCell="A6" activePane="bottomLeft" state="frozen"/>
      <selection activeCell="G3" sqref="G3"/>
      <selection pane="bottomLeft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18.8984375" style="6" customWidth="1"/>
    <col min="4" max="15" width="13.3984375" style="6" customWidth="1"/>
    <col min="16" max="22" width="10.69921875" style="6" customWidth="1"/>
    <col min="23" max="16384" width="11" style="6"/>
  </cols>
  <sheetData>
    <row r="1" spans="1:16384" s="24" customFormat="1" ht="39" customHeight="1">
      <c r="D1" s="7"/>
    </row>
    <row r="2" spans="1:16384" s="2" customFormat="1" ht="30" customHeight="1">
      <c r="C2" s="5"/>
      <c r="D2" s="5"/>
      <c r="E2" s="5"/>
      <c r="F2" s="5"/>
      <c r="G2" s="5"/>
      <c r="H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C4" s="10"/>
      <c r="D4" s="10"/>
      <c r="E4" s="10"/>
      <c r="F4" s="10"/>
      <c r="G4" s="10"/>
      <c r="H4" s="10"/>
    </row>
    <row r="5" spans="1:16384" ht="30" customHeight="1" thickTop="1" thickBot="1">
      <c r="C5" s="26" t="s">
        <v>64</v>
      </c>
      <c r="D5" s="30">
        <f>SUM(FAT!D6:O6)</f>
        <v>255000</v>
      </c>
      <c r="E5" s="10"/>
      <c r="F5" s="10"/>
      <c r="G5" s="10"/>
      <c r="H5" s="10"/>
    </row>
    <row r="6" spans="1:16384" ht="5.0999999999999996" customHeight="1" thickTop="1" thickBot="1">
      <c r="C6" s="10"/>
      <c r="D6" s="10"/>
      <c r="E6" s="10"/>
      <c r="F6" s="10"/>
      <c r="G6" s="10"/>
      <c r="H6" s="10"/>
    </row>
    <row r="7" spans="1:16384" ht="30" customHeight="1" thickTop="1" thickBot="1">
      <c r="C7" s="26" t="s">
        <v>17</v>
      </c>
      <c r="D7" s="26" t="s">
        <v>20</v>
      </c>
      <c r="E7" s="26" t="s">
        <v>21</v>
      </c>
      <c r="F7" s="26" t="s">
        <v>22</v>
      </c>
      <c r="G7" s="26" t="s">
        <v>23</v>
      </c>
      <c r="H7" s="26" t="s">
        <v>24</v>
      </c>
      <c r="I7" s="26" t="s">
        <v>25</v>
      </c>
      <c r="J7" s="26" t="s">
        <v>26</v>
      </c>
      <c r="K7" s="26" t="s">
        <v>27</v>
      </c>
      <c r="L7" s="26" t="s">
        <v>28</v>
      </c>
      <c r="M7" s="26" t="s">
        <v>29</v>
      </c>
      <c r="N7" s="26" t="s">
        <v>30</v>
      </c>
      <c r="O7" s="26" t="s">
        <v>31</v>
      </c>
    </row>
    <row r="8" spans="1:16384" ht="30" customHeight="1" thickTop="1" thickBot="1">
      <c r="C8" s="26" t="s">
        <v>32</v>
      </c>
      <c r="D8" s="27">
        <f>FAT!D6</f>
        <v>20000</v>
      </c>
      <c r="E8" s="27">
        <f>FAT!E6</f>
        <v>20000</v>
      </c>
      <c r="F8" s="27">
        <f>FAT!F6</f>
        <v>25000</v>
      </c>
      <c r="G8" s="27">
        <f>FAT!G6</f>
        <v>15000</v>
      </c>
      <c r="H8" s="27">
        <f>FAT!H6</f>
        <v>10000</v>
      </c>
      <c r="I8" s="27">
        <f>FAT!I6</f>
        <v>35000</v>
      </c>
      <c r="J8" s="27">
        <f>FAT!J6</f>
        <v>15000</v>
      </c>
      <c r="K8" s="27">
        <f>FAT!K6</f>
        <v>20000</v>
      </c>
      <c r="L8" s="27">
        <f>FAT!L6</f>
        <v>35000</v>
      </c>
      <c r="M8" s="27">
        <f>FAT!M6</f>
        <v>25000</v>
      </c>
      <c r="N8" s="27">
        <f>FAT!N6</f>
        <v>20000</v>
      </c>
      <c r="O8" s="27">
        <f>FAT!O6</f>
        <v>15000</v>
      </c>
    </row>
    <row r="9" spans="1:16384" ht="30" customHeight="1" thickTop="1" thickBot="1">
      <c r="C9" s="26" t="s">
        <v>33</v>
      </c>
      <c r="D9" s="28">
        <f>SUMIFS(IMP!$H$6:$H$17,IMP!$F$6:$F$17,"&lt;="&amp;$D$5,IMP!$G$6:$G$17,"&gt;="&amp;$D$5,IMP!$C$6:$C$17,"Serviços")</f>
        <v>0.112</v>
      </c>
      <c r="E9" s="28">
        <f>SUMIFS(IMP!$H$6:$H$17,IMP!$F$6:$F$17,"&lt;="&amp;$D$5,IMP!$G$6:$G$17,"&gt;="&amp;$D$5,IMP!$C$6:$C$17,"Serviços")</f>
        <v>0.112</v>
      </c>
      <c r="F9" s="28">
        <f>SUMIFS(IMP!$H$6:$H$17,IMP!$F$6:$F$17,"&lt;="&amp;$D$5,IMP!$G$6:$G$17,"&gt;="&amp;$D$5,IMP!$C$6:$C$17,"Serviços")</f>
        <v>0.112</v>
      </c>
      <c r="G9" s="28">
        <f>SUMIFS(IMP!$H$6:$H$17,IMP!$F$6:$F$17,"&lt;="&amp;$D$5,IMP!$G$6:$G$17,"&gt;="&amp;$D$5,IMP!$C$6:$C$17,"Serviços")</f>
        <v>0.112</v>
      </c>
      <c r="H9" s="28">
        <f>SUMIFS(IMP!$H$6:$H$17,IMP!$F$6:$F$17,"&lt;="&amp;$D$5,IMP!$G$6:$G$17,"&gt;="&amp;$D$5,IMP!$C$6:$C$17,"Serviços")</f>
        <v>0.112</v>
      </c>
      <c r="I9" s="28">
        <f>SUMIFS(IMP!$H$6:$H$17,IMP!$F$6:$F$17,"&lt;="&amp;$D$5,IMP!$G$6:$G$17,"&gt;="&amp;$D$5,IMP!$C$6:$C$17,"Serviços")</f>
        <v>0.112</v>
      </c>
      <c r="J9" s="28">
        <f>SUMIFS(IMP!$H$6:$H$17,IMP!$F$6:$F$17,"&lt;="&amp;$D$5,IMP!$G$6:$G$17,"&gt;="&amp;$D$5,IMP!$C$6:$C$17,"Serviços")</f>
        <v>0.112</v>
      </c>
      <c r="K9" s="28">
        <f>SUMIFS(IMP!$H$6:$H$17,IMP!$F$6:$F$17,"&lt;="&amp;$D$5,IMP!$G$6:$G$17,"&gt;="&amp;$D$5,IMP!$C$6:$C$17,"Serviços")</f>
        <v>0.112</v>
      </c>
      <c r="L9" s="28">
        <f>SUMIFS(IMP!$H$6:$H$17,IMP!$F$6:$F$17,"&lt;="&amp;$D$5,IMP!$G$6:$G$17,"&gt;="&amp;$D$5,IMP!$C$6:$C$17,"Serviços")</f>
        <v>0.112</v>
      </c>
      <c r="M9" s="28">
        <f>SUMIFS(IMP!$H$6:$H$17,IMP!$F$6:$F$17,"&lt;="&amp;$D$5,IMP!$G$6:$G$17,"&gt;="&amp;$D$5,IMP!$C$6:$C$17,"Serviços")</f>
        <v>0.112</v>
      </c>
      <c r="N9" s="28">
        <f>SUMIFS(IMP!$H$6:$H$17,IMP!$F$6:$F$17,"&lt;="&amp;$D$5,IMP!$G$6:$G$17,"&gt;="&amp;$D$5,IMP!$C$6:$C$17,"Serviços")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0" customHeight="1" thickTop="1" thickBot="1">
      <c r="C10" s="26" t="s">
        <v>72</v>
      </c>
      <c r="D10" s="27">
        <f>SUMIFS(IMP!$I$6:$I$17,IMP!$F$6:$F$17,"&lt;="&amp;$D$5,IMP!$G$6:$G$17,"&gt;="&amp;$D$5,IMP!$C$6:$C$17,"Serviços")/12</f>
        <v>780</v>
      </c>
      <c r="E10" s="30">
        <f>SUMIFS(IMP!$I$6:$I$17,IMP!$F$6:$F$17,"&lt;="&amp;$D$5,IMP!$G$6:$G$17,"&gt;="&amp;$D$5,IMP!$C$6:$C$17,"Serviços")/12</f>
        <v>780</v>
      </c>
      <c r="F10" s="30">
        <f>SUMIFS(IMP!$I$6:$I$17,IMP!$F$6:$F$17,"&lt;="&amp;$D$5,IMP!$G$6:$G$17,"&gt;="&amp;$D$5,IMP!$C$6:$C$17,"Serviços")/12</f>
        <v>780</v>
      </c>
      <c r="G10" s="30">
        <f>SUMIFS(IMP!$I$6:$I$17,IMP!$F$6:$F$17,"&lt;="&amp;$D$5,IMP!$G$6:$G$17,"&gt;="&amp;$D$5,IMP!$C$6:$C$17,"Serviços")/12</f>
        <v>780</v>
      </c>
      <c r="H10" s="30">
        <f>SUMIFS(IMP!$I$6:$I$17,IMP!$F$6:$F$17,"&lt;="&amp;$D$5,IMP!$G$6:$G$17,"&gt;="&amp;$D$5,IMP!$C$6:$C$17,"Serviços")/12</f>
        <v>780</v>
      </c>
      <c r="I10" s="30">
        <f>SUMIFS(IMP!$I$6:$I$17,IMP!$F$6:$F$17,"&lt;="&amp;$D$5,IMP!$G$6:$G$17,"&gt;="&amp;$D$5,IMP!$C$6:$C$17,"Serviços")/12</f>
        <v>780</v>
      </c>
      <c r="J10" s="30">
        <f>SUMIFS(IMP!$I$6:$I$17,IMP!$F$6:$F$17,"&lt;="&amp;$D$5,IMP!$G$6:$G$17,"&gt;="&amp;$D$5,IMP!$C$6:$C$17,"Serviços")/12</f>
        <v>780</v>
      </c>
      <c r="K10" s="30">
        <f>SUMIFS(IMP!$I$6:$I$17,IMP!$F$6:$F$17,"&lt;="&amp;$D$5,IMP!$G$6:$G$17,"&gt;="&amp;$D$5,IMP!$C$6:$C$17,"Serviços")/12</f>
        <v>780</v>
      </c>
      <c r="L10" s="30">
        <f>SUMIFS(IMP!$I$6:$I$17,IMP!$F$6:$F$17,"&lt;="&amp;$D$5,IMP!$G$6:$G$17,"&gt;="&amp;$D$5,IMP!$C$6:$C$17,"Serviços")/12</f>
        <v>780</v>
      </c>
      <c r="M10" s="30">
        <f>SUMIFS(IMP!$I$6:$I$17,IMP!$F$6:$F$17,"&lt;="&amp;$D$5,IMP!$G$6:$G$17,"&gt;="&amp;$D$5,IMP!$C$6:$C$17,"Serviços")/12</f>
        <v>780</v>
      </c>
      <c r="N10" s="30">
        <f>SUMIFS(IMP!$I$6:$I$17,IMP!$F$6:$F$17,"&lt;="&amp;$D$5,IMP!$G$6:$G$17,"&gt;="&amp;$D$5,IMP!$C$6:$C$17,"Serviços")/12</f>
        <v>780</v>
      </c>
      <c r="O10" s="30">
        <f>SUMIFS(IMP!$I$6:$I$17,IMP!$F$6:$F$17,"&lt;="&amp;$D$5,IMP!$G$6:$G$17,"&gt;="&amp;$D$5,IMP!$C$6:$C$17,"Serviços")/12</f>
        <v>780</v>
      </c>
    </row>
    <row r="11" spans="1:16384" ht="30" customHeight="1" thickTop="1" thickBot="1">
      <c r="C11" s="26" t="s">
        <v>73</v>
      </c>
      <c r="D11" s="28">
        <f>(D9*$D$5-D10)/$D$5</f>
        <v>0.10894117647058824</v>
      </c>
      <c r="E11" s="28">
        <f t="shared" ref="E11:O11" si="0">(E9*$D$5-E10)/$D$5</f>
        <v>0.10894117647058824</v>
      </c>
      <c r="F11" s="28">
        <f t="shared" si="0"/>
        <v>0.10894117647058824</v>
      </c>
      <c r="G11" s="28">
        <f t="shared" si="0"/>
        <v>0.10894117647058824</v>
      </c>
      <c r="H11" s="28">
        <f t="shared" si="0"/>
        <v>0.10894117647058824</v>
      </c>
      <c r="I11" s="28">
        <f t="shared" si="0"/>
        <v>0.10894117647058824</v>
      </c>
      <c r="J11" s="28">
        <f t="shared" si="0"/>
        <v>0.10894117647058824</v>
      </c>
      <c r="K11" s="28">
        <f t="shared" si="0"/>
        <v>0.10894117647058824</v>
      </c>
      <c r="L11" s="28">
        <f t="shared" si="0"/>
        <v>0.10894117647058824</v>
      </c>
      <c r="M11" s="28">
        <f t="shared" si="0"/>
        <v>0.10894117647058824</v>
      </c>
      <c r="N11" s="28">
        <f t="shared" si="0"/>
        <v>0.10894117647058824</v>
      </c>
      <c r="O11" s="28">
        <f t="shared" si="0"/>
        <v>0.10894117647058824</v>
      </c>
    </row>
    <row r="12" spans="1:16384" ht="30" customHeight="1" thickTop="1" thickBot="1">
      <c r="C12" s="26" t="s">
        <v>34</v>
      </c>
      <c r="D12" s="27">
        <f t="shared" ref="D12:O12" si="1">D8*D11</f>
        <v>2178.8235294117649</v>
      </c>
      <c r="E12" s="27">
        <f t="shared" si="1"/>
        <v>2178.8235294117649</v>
      </c>
      <c r="F12" s="27">
        <f t="shared" si="1"/>
        <v>2723.5294117647059</v>
      </c>
      <c r="G12" s="27">
        <f t="shared" si="1"/>
        <v>1634.1176470588234</v>
      </c>
      <c r="H12" s="27">
        <f t="shared" si="1"/>
        <v>1089.4117647058824</v>
      </c>
      <c r="I12" s="27">
        <f t="shared" si="1"/>
        <v>3812.9411764705883</v>
      </c>
      <c r="J12" s="27">
        <f t="shared" si="1"/>
        <v>1634.1176470588234</v>
      </c>
      <c r="K12" s="27">
        <f t="shared" si="1"/>
        <v>2178.8235294117649</v>
      </c>
      <c r="L12" s="27">
        <f t="shared" si="1"/>
        <v>3812.9411764705883</v>
      </c>
      <c r="M12" s="27">
        <f t="shared" si="1"/>
        <v>2723.5294117647059</v>
      </c>
      <c r="N12" s="27">
        <f t="shared" si="1"/>
        <v>2178.8235294117649</v>
      </c>
      <c r="O12" s="27">
        <f t="shared" si="1"/>
        <v>1634.1176470588234</v>
      </c>
    </row>
    <row r="13" spans="1:16384" ht="9.9" customHeight="1" thickTop="1" thickBot="1">
      <c r="C13"/>
    </row>
    <row r="14" spans="1:16384" ht="30" customHeight="1" thickTop="1" thickBot="1">
      <c r="C14" s="26" t="s">
        <v>64</v>
      </c>
      <c r="D14" s="37">
        <f>SUM(FAT!D7:O7)</f>
        <v>12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6384" ht="5.0999999999999996" customHeight="1" thickTop="1" thickBot="1"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6384" ht="30" customHeight="1" thickTop="1" thickBot="1">
      <c r="C16" s="26" t="s">
        <v>15</v>
      </c>
      <c r="D16" s="26" t="s">
        <v>20</v>
      </c>
      <c r="E16" s="26" t="s">
        <v>21</v>
      </c>
      <c r="F16" s="26" t="s">
        <v>22</v>
      </c>
      <c r="G16" s="26" t="s">
        <v>23</v>
      </c>
      <c r="H16" s="26" t="s">
        <v>24</v>
      </c>
      <c r="I16" s="26" t="s">
        <v>25</v>
      </c>
      <c r="J16" s="26" t="s">
        <v>26</v>
      </c>
      <c r="K16" s="26" t="s">
        <v>27</v>
      </c>
      <c r="L16" s="26" t="s">
        <v>28</v>
      </c>
      <c r="M16" s="26" t="s">
        <v>29</v>
      </c>
      <c r="N16" s="26" t="s">
        <v>30</v>
      </c>
      <c r="O16" s="26" t="s">
        <v>31</v>
      </c>
    </row>
    <row r="17" spans="3:15" ht="30" customHeight="1" thickTop="1" thickBot="1">
      <c r="C17" s="26" t="s">
        <v>32</v>
      </c>
      <c r="D17" s="37">
        <f>FAT!D7</f>
        <v>1</v>
      </c>
      <c r="E17" s="37">
        <f>FAT!E7</f>
        <v>1</v>
      </c>
      <c r="F17" s="37">
        <f>FAT!F7</f>
        <v>1</v>
      </c>
      <c r="G17" s="37">
        <f>FAT!G7</f>
        <v>1</v>
      </c>
      <c r="H17" s="37">
        <f>FAT!H7</f>
        <v>1</v>
      </c>
      <c r="I17" s="37">
        <f>FAT!I7</f>
        <v>1</v>
      </c>
      <c r="J17" s="37">
        <f>FAT!J7</f>
        <v>1</v>
      </c>
      <c r="K17" s="37">
        <f>FAT!K7</f>
        <v>1</v>
      </c>
      <c r="L17" s="37">
        <f>FAT!L7</f>
        <v>1</v>
      </c>
      <c r="M17" s="37">
        <f>FAT!M7</f>
        <v>1</v>
      </c>
      <c r="N17" s="37">
        <f>FAT!N7</f>
        <v>1</v>
      </c>
      <c r="O17" s="37">
        <f>FAT!O7</f>
        <v>1</v>
      </c>
    </row>
    <row r="18" spans="3:15" ht="30" customHeight="1" thickTop="1" thickBot="1">
      <c r="C18" s="26" t="s">
        <v>33</v>
      </c>
      <c r="D18" s="40">
        <f>SUMIFS(IMP!$H$6:$H$17,IMP!$F$6:$F$17,"&lt;="&amp;$D$14,IMP!$G$6:$G$17,"&gt;="&amp;$D$14,IMP!$C$6:$C$17,"Indústria")</f>
        <v>4.4999999999999998E-2</v>
      </c>
      <c r="E18" s="40">
        <f>SUMIFS(IMP!$H$6:$H$17,IMP!$F$6:$F$17,"&lt;="&amp;$D$14,IMP!$G$6:$G$17,"&gt;="&amp;$D$14,IMP!$C$6:$C$17,"Indústria")</f>
        <v>4.4999999999999998E-2</v>
      </c>
      <c r="F18" s="40">
        <f>SUMIFS(IMP!$H$6:$H$17,IMP!$F$6:$F$17,"&lt;="&amp;$D$14,IMP!$G$6:$G$17,"&gt;="&amp;$D$14,IMP!$C$6:$C$17,"Indústria")</f>
        <v>4.4999999999999998E-2</v>
      </c>
      <c r="G18" s="40">
        <f>SUMIFS(IMP!$H$6:$H$17,IMP!$F$6:$F$17,"&lt;="&amp;$D$14,IMP!$G$6:$G$17,"&gt;="&amp;$D$14,IMP!$C$6:$C$17,"Indústria")</f>
        <v>4.4999999999999998E-2</v>
      </c>
      <c r="H18" s="40">
        <f>SUMIFS(IMP!$H$6:$H$17,IMP!$F$6:$F$17,"&lt;="&amp;$D$14,IMP!$G$6:$G$17,"&gt;="&amp;$D$14,IMP!$C$6:$C$17,"Indústria")</f>
        <v>4.4999999999999998E-2</v>
      </c>
      <c r="I18" s="40">
        <f>SUMIFS(IMP!$H$6:$H$17,IMP!$F$6:$F$17,"&lt;="&amp;$D$14,IMP!$G$6:$G$17,"&gt;="&amp;$D$14,IMP!$C$6:$C$17,"Indústria")</f>
        <v>4.4999999999999998E-2</v>
      </c>
      <c r="J18" s="40">
        <f>SUMIFS(IMP!$H$6:$H$17,IMP!$F$6:$F$17,"&lt;="&amp;$D$14,IMP!$G$6:$G$17,"&gt;="&amp;$D$14,IMP!$C$6:$C$17,"Indústria")</f>
        <v>4.4999999999999998E-2</v>
      </c>
      <c r="K18" s="40">
        <f>SUMIFS(IMP!$H$6:$H$17,IMP!$F$6:$F$17,"&lt;="&amp;$D$14,IMP!$G$6:$G$17,"&gt;="&amp;$D$14,IMP!$C$6:$C$17,"Indústria")</f>
        <v>4.4999999999999998E-2</v>
      </c>
      <c r="L18" s="40">
        <f>SUMIFS(IMP!$H$6:$H$17,IMP!$F$6:$F$17,"&lt;="&amp;$D$14,IMP!$G$6:$G$17,"&gt;="&amp;$D$14,IMP!$C$6:$C$17,"Indústria")</f>
        <v>4.4999999999999998E-2</v>
      </c>
      <c r="M18" s="40">
        <f>SUMIFS(IMP!$H$6:$H$17,IMP!$F$6:$F$17,"&lt;="&amp;$D$14,IMP!$G$6:$G$17,"&gt;="&amp;$D$14,IMP!$C$6:$C$17,"Indústria")</f>
        <v>4.4999999999999998E-2</v>
      </c>
      <c r="N18" s="40">
        <f>SUMIFS(IMP!$H$6:$H$17,IMP!$F$6:$F$17,"&lt;="&amp;$D$14,IMP!$G$6:$G$17,"&gt;="&amp;$D$14,IMP!$C$6:$C$17,"Indústria")</f>
        <v>4.4999999999999998E-2</v>
      </c>
      <c r="O18" s="40">
        <f>SUMIFS(IMP!$H$6:$H$17,IMP!$F$6:$F$17,"&lt;="&amp;$D$14,IMP!$G$6:$G$17,"&gt;="&amp;$D$14,IMP!$C$6:$C$17,"Indústria")</f>
        <v>4.4999999999999998E-2</v>
      </c>
    </row>
    <row r="19" spans="3:15" ht="30" customHeight="1" thickTop="1" thickBot="1">
      <c r="C19" s="26" t="s">
        <v>72</v>
      </c>
      <c r="D19" s="37">
        <f>SUMIFS(IMP!$I$6:$I$17,IMP!$F$6:$F$17,"&lt;="&amp;$D$14,IMP!$G$6:$G$17,"&gt;="&amp;$D$14,IMP!$C$6:$C$17,"Indústria")/12</f>
        <v>0</v>
      </c>
      <c r="E19" s="37">
        <f>SUMIFS(IMP!$I$6:$I$17,IMP!$F$6:$F$17,"&lt;="&amp;$D$14,IMP!$G$6:$G$17,"&gt;="&amp;$D$14,IMP!$C$6:$C$17,"Indústria")/12</f>
        <v>0</v>
      </c>
      <c r="F19" s="37">
        <f>SUMIFS(IMP!$I$6:$I$17,IMP!$F$6:$F$17,"&lt;="&amp;$D$14,IMP!$G$6:$G$17,"&gt;="&amp;$D$14,IMP!$C$6:$C$17,"Indústria")/12</f>
        <v>0</v>
      </c>
      <c r="G19" s="37">
        <f>SUMIFS(IMP!$I$6:$I$17,IMP!$F$6:$F$17,"&lt;="&amp;$D$14,IMP!$G$6:$G$17,"&gt;="&amp;$D$14,IMP!$C$6:$C$17,"Indústria")/12</f>
        <v>0</v>
      </c>
      <c r="H19" s="37">
        <f>SUMIFS(IMP!$I$6:$I$17,IMP!$F$6:$F$17,"&lt;="&amp;$D$14,IMP!$G$6:$G$17,"&gt;="&amp;$D$14,IMP!$C$6:$C$17,"Indústria")/12</f>
        <v>0</v>
      </c>
      <c r="I19" s="37">
        <f>SUMIFS(IMP!$I$6:$I$17,IMP!$F$6:$F$17,"&lt;="&amp;$D$14,IMP!$G$6:$G$17,"&gt;="&amp;$D$14,IMP!$C$6:$C$17,"Indústria")/12</f>
        <v>0</v>
      </c>
      <c r="J19" s="37">
        <f>SUMIFS(IMP!$I$6:$I$17,IMP!$F$6:$F$17,"&lt;="&amp;$D$14,IMP!$G$6:$G$17,"&gt;="&amp;$D$14,IMP!$C$6:$C$17,"Indústria")/12</f>
        <v>0</v>
      </c>
      <c r="K19" s="37">
        <f>SUMIFS(IMP!$I$6:$I$17,IMP!$F$6:$F$17,"&lt;="&amp;$D$14,IMP!$G$6:$G$17,"&gt;="&amp;$D$14,IMP!$C$6:$C$17,"Indústria")/12</f>
        <v>0</v>
      </c>
      <c r="L19" s="37">
        <f>SUMIFS(IMP!$I$6:$I$17,IMP!$F$6:$F$17,"&lt;="&amp;$D$14,IMP!$G$6:$G$17,"&gt;="&amp;$D$14,IMP!$C$6:$C$17,"Indústria")/12</f>
        <v>0</v>
      </c>
      <c r="M19" s="37">
        <f>SUMIFS(IMP!$I$6:$I$17,IMP!$F$6:$F$17,"&lt;="&amp;$D$14,IMP!$G$6:$G$17,"&gt;="&amp;$D$14,IMP!$C$6:$C$17,"Indústria")/12</f>
        <v>0</v>
      </c>
      <c r="N19" s="37">
        <f>SUMIFS(IMP!$I$6:$I$17,IMP!$F$6:$F$17,"&lt;="&amp;$D$14,IMP!$G$6:$G$17,"&gt;="&amp;$D$14,IMP!$C$6:$C$17,"Indústria")/12</f>
        <v>0</v>
      </c>
      <c r="O19" s="37">
        <f>SUMIFS(IMP!$I$6:$I$17,IMP!$F$6:$F$17,"&lt;="&amp;$D$14,IMP!$G$6:$G$17,"&gt;="&amp;$D$14,IMP!$C$6:$C$17,"Indústria")/12</f>
        <v>0</v>
      </c>
    </row>
    <row r="20" spans="3:15" ht="30" customHeight="1" thickTop="1" thickBot="1">
      <c r="C20" s="26" t="s">
        <v>73</v>
      </c>
      <c r="D20" s="40">
        <f>(D18*$D$14-D19)/$D$14</f>
        <v>4.5000000000000005E-2</v>
      </c>
      <c r="E20" s="40">
        <f t="shared" ref="E20:O20" si="2">(E18*$D$14-E19)/$D$14</f>
        <v>4.5000000000000005E-2</v>
      </c>
      <c r="F20" s="40">
        <f t="shared" si="2"/>
        <v>4.5000000000000005E-2</v>
      </c>
      <c r="G20" s="40">
        <f t="shared" si="2"/>
        <v>4.5000000000000005E-2</v>
      </c>
      <c r="H20" s="40">
        <f t="shared" si="2"/>
        <v>4.5000000000000005E-2</v>
      </c>
      <c r="I20" s="40">
        <f t="shared" si="2"/>
        <v>4.5000000000000005E-2</v>
      </c>
      <c r="J20" s="40">
        <f t="shared" si="2"/>
        <v>4.5000000000000005E-2</v>
      </c>
      <c r="K20" s="40">
        <f t="shared" si="2"/>
        <v>4.5000000000000005E-2</v>
      </c>
      <c r="L20" s="40">
        <f t="shared" si="2"/>
        <v>4.5000000000000005E-2</v>
      </c>
      <c r="M20" s="40">
        <f t="shared" si="2"/>
        <v>4.5000000000000005E-2</v>
      </c>
      <c r="N20" s="40">
        <f t="shared" si="2"/>
        <v>4.5000000000000005E-2</v>
      </c>
      <c r="O20" s="40">
        <f t="shared" si="2"/>
        <v>4.5000000000000005E-2</v>
      </c>
    </row>
    <row r="21" spans="3:15" ht="30" customHeight="1" thickTop="1" thickBot="1">
      <c r="C21" s="26" t="s">
        <v>34</v>
      </c>
      <c r="D21" s="37">
        <f t="shared" ref="D21:O21" si="3">D17*D20</f>
        <v>4.5000000000000005E-2</v>
      </c>
      <c r="E21" s="37">
        <f t="shared" si="3"/>
        <v>4.5000000000000005E-2</v>
      </c>
      <c r="F21" s="37">
        <f t="shared" si="3"/>
        <v>4.5000000000000005E-2</v>
      </c>
      <c r="G21" s="37">
        <f t="shared" si="3"/>
        <v>4.5000000000000005E-2</v>
      </c>
      <c r="H21" s="37">
        <f t="shared" si="3"/>
        <v>4.5000000000000005E-2</v>
      </c>
      <c r="I21" s="37">
        <f t="shared" si="3"/>
        <v>4.5000000000000005E-2</v>
      </c>
      <c r="J21" s="37">
        <f t="shared" si="3"/>
        <v>4.5000000000000005E-2</v>
      </c>
      <c r="K21" s="37">
        <f t="shared" si="3"/>
        <v>4.5000000000000005E-2</v>
      </c>
      <c r="L21" s="37">
        <f t="shared" si="3"/>
        <v>4.5000000000000005E-2</v>
      </c>
      <c r="M21" s="37">
        <f t="shared" si="3"/>
        <v>4.5000000000000005E-2</v>
      </c>
      <c r="N21" s="37">
        <f t="shared" si="3"/>
        <v>4.5000000000000005E-2</v>
      </c>
      <c r="O21" s="37">
        <f t="shared" si="3"/>
        <v>4.5000000000000005E-2</v>
      </c>
    </row>
    <row r="22" spans="3:15" ht="7.5" customHeight="1" thickTop="1" thickBot="1">
      <c r="C22" s="3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3:15" ht="30" customHeight="1" thickTop="1" thickBot="1">
      <c r="C23" s="43" t="s">
        <v>60</v>
      </c>
      <c r="D23" s="37">
        <f t="shared" ref="D23:O23" si="4">D12+D21</f>
        <v>2178.8685294117649</v>
      </c>
      <c r="E23" s="37">
        <f t="shared" si="4"/>
        <v>2178.8685294117649</v>
      </c>
      <c r="F23" s="37">
        <f t="shared" si="4"/>
        <v>2723.5744117647059</v>
      </c>
      <c r="G23" s="37">
        <f t="shared" si="4"/>
        <v>1634.1626470588235</v>
      </c>
      <c r="H23" s="37">
        <f t="shared" si="4"/>
        <v>1089.4567647058825</v>
      </c>
      <c r="I23" s="37">
        <f t="shared" si="4"/>
        <v>3812.9861764705884</v>
      </c>
      <c r="J23" s="37">
        <f t="shared" si="4"/>
        <v>1634.1626470588235</v>
      </c>
      <c r="K23" s="37">
        <f t="shared" si="4"/>
        <v>2178.8685294117649</v>
      </c>
      <c r="L23" s="37">
        <f t="shared" si="4"/>
        <v>3812.9861764705884</v>
      </c>
      <c r="M23" s="37">
        <f t="shared" si="4"/>
        <v>2723.5744117647059</v>
      </c>
      <c r="N23" s="37">
        <f t="shared" si="4"/>
        <v>2178.8685294117649</v>
      </c>
      <c r="O23" s="37">
        <f t="shared" si="4"/>
        <v>1634.1626470588235</v>
      </c>
    </row>
    <row r="24" spans="3:15" ht="30" customHeight="1" thickTop="1">
      <c r="C24"/>
    </row>
    <row r="25" spans="3:15" ht="30" customHeight="1">
      <c r="C25"/>
    </row>
    <row r="26" spans="3:15" ht="30" customHeight="1">
      <c r="C26"/>
    </row>
    <row r="27" spans="3:15" ht="30" customHeight="1">
      <c r="C27"/>
    </row>
    <row r="28" spans="3:15" ht="30" customHeight="1">
      <c r="C28"/>
    </row>
    <row r="29" spans="3:15" ht="30" customHeight="1">
      <c r="C29"/>
    </row>
    <row r="30" spans="3:15" ht="30" customHeight="1">
      <c r="C30"/>
    </row>
    <row r="31" spans="3:15" ht="30" customHeight="1">
      <c r="C31"/>
    </row>
    <row r="32" spans="3:15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  <row r="94" spans="3:3" ht="30" customHeight="1">
      <c r="C94"/>
    </row>
    <row r="95" spans="3:3" ht="30" customHeight="1">
      <c r="C95"/>
    </row>
    <row r="96" spans="3:3" ht="30" customHeight="1">
      <c r="C96"/>
    </row>
    <row r="97" spans="3:3" ht="30" customHeight="1">
      <c r="C97"/>
    </row>
    <row r="98" spans="3:3" ht="30" customHeight="1">
      <c r="C98"/>
    </row>
    <row r="99" spans="3:3" ht="30" customHeight="1">
      <c r="C99"/>
    </row>
    <row r="100" spans="3:3" ht="30" customHeight="1">
      <c r="C100"/>
    </row>
    <row r="101" spans="3:3" ht="30" customHeight="1">
      <c r="C101"/>
    </row>
    <row r="102" spans="3:3" ht="30" customHeight="1">
      <c r="C102"/>
    </row>
    <row r="103" spans="3:3" ht="30" customHeight="1">
      <c r="C103"/>
    </row>
    <row r="104" spans="3:3" ht="30" customHeight="1">
      <c r="C104"/>
    </row>
    <row r="105" spans="3:3" ht="30" customHeight="1">
      <c r="C105"/>
    </row>
    <row r="106" spans="3:3" ht="30" customHeight="1">
      <c r="C106"/>
    </row>
    <row r="107" spans="3:3" ht="30" customHeight="1">
      <c r="C107"/>
    </row>
    <row r="108" spans="3:3" ht="30" customHeight="1">
      <c r="C108"/>
    </row>
    <row r="109" spans="3:3" ht="30" customHeight="1">
      <c r="C109"/>
    </row>
    <row r="110" spans="3:3" ht="30" customHeight="1">
      <c r="C110"/>
    </row>
    <row r="111" spans="3:3" ht="30" customHeight="1">
      <c r="C111"/>
    </row>
    <row r="112" spans="3:3" ht="30" customHeight="1">
      <c r="C112"/>
    </row>
    <row r="113" spans="3:3" ht="30" customHeight="1">
      <c r="C113"/>
    </row>
    <row r="114" spans="3:3" ht="30" customHeight="1">
      <c r="C114"/>
    </row>
    <row r="115" spans="3:3" ht="30" customHeight="1">
      <c r="C115"/>
    </row>
    <row r="116" spans="3:3" ht="30" customHeight="1">
      <c r="C116"/>
    </row>
    <row r="117" spans="3:3" ht="30" customHeight="1">
      <c r="C117"/>
    </row>
    <row r="118" spans="3:3" ht="30" customHeight="1">
      <c r="C118"/>
    </row>
    <row r="119" spans="3:3" ht="30" customHeight="1">
      <c r="C119"/>
    </row>
    <row r="120" spans="3:3" ht="30" customHeight="1">
      <c r="C120"/>
    </row>
    <row r="121" spans="3:3" ht="30" customHeight="1">
      <c r="C121"/>
    </row>
    <row r="122" spans="3:3" ht="30" customHeight="1">
      <c r="C122"/>
    </row>
    <row r="123" spans="3:3" ht="30" customHeight="1">
      <c r="C123"/>
    </row>
    <row r="124" spans="3:3" ht="30" customHeight="1">
      <c r="C124"/>
    </row>
    <row r="125" spans="3:3" ht="30" customHeight="1">
      <c r="C125"/>
    </row>
    <row r="126" spans="3:3" ht="30" customHeight="1">
      <c r="C126"/>
    </row>
    <row r="127" spans="3:3" ht="30" customHeight="1">
      <c r="C127"/>
    </row>
    <row r="128" spans="3:3" ht="30" customHeight="1">
      <c r="C128"/>
    </row>
    <row r="129" spans="3:3" ht="30" customHeight="1">
      <c r="C129"/>
    </row>
    <row r="130" spans="3:3" ht="30" customHeight="1">
      <c r="C130"/>
    </row>
    <row r="131" spans="3:3" ht="30" customHeight="1">
      <c r="C131"/>
    </row>
    <row r="132" spans="3:3" ht="30" customHeight="1">
      <c r="C132"/>
    </row>
    <row r="133" spans="3:3" ht="30" customHeight="1">
      <c r="C133"/>
    </row>
    <row r="134" spans="3:3" ht="30" customHeight="1">
      <c r="C134"/>
    </row>
    <row r="135" spans="3:3" ht="30" customHeight="1">
      <c r="C135"/>
    </row>
    <row r="136" spans="3:3" ht="30" customHeight="1">
      <c r="C136"/>
    </row>
    <row r="137" spans="3:3" ht="30" customHeight="1">
      <c r="C137"/>
    </row>
    <row r="138" spans="3:3" ht="30" customHeight="1">
      <c r="C138"/>
    </row>
    <row r="139" spans="3:3" ht="30" customHeight="1">
      <c r="C139"/>
    </row>
    <row r="140" spans="3:3" ht="30" customHeight="1">
      <c r="C140"/>
    </row>
    <row r="141" spans="3:3" ht="30" customHeight="1">
      <c r="C141"/>
    </row>
    <row r="142" spans="3:3" ht="30" customHeight="1">
      <c r="C142"/>
    </row>
    <row r="143" spans="3:3" ht="30" customHeight="1">
      <c r="C143"/>
    </row>
    <row r="144" spans="3:3" ht="30" customHeight="1">
      <c r="C144"/>
    </row>
    <row r="145" spans="3:3" ht="30" customHeight="1">
      <c r="C145"/>
    </row>
    <row r="146" spans="3:3" ht="30" customHeight="1">
      <c r="C146"/>
    </row>
    <row r="147" spans="3:3" ht="30" customHeight="1">
      <c r="C147"/>
    </row>
    <row r="148" spans="3:3" ht="30" customHeight="1">
      <c r="C148"/>
    </row>
    <row r="149" spans="3:3" ht="30" customHeight="1">
      <c r="C149"/>
    </row>
    <row r="150" spans="3:3" ht="30" customHeight="1">
      <c r="C150"/>
    </row>
    <row r="151" spans="3:3" ht="30" customHeight="1">
      <c r="C151"/>
    </row>
    <row r="152" spans="3:3" ht="30" customHeight="1">
      <c r="C152"/>
    </row>
    <row r="153" spans="3:3" ht="30" customHeight="1">
      <c r="C153"/>
    </row>
    <row r="154" spans="3:3" ht="30" customHeight="1">
      <c r="C154"/>
    </row>
    <row r="155" spans="3:3" ht="30" customHeight="1">
      <c r="C155"/>
    </row>
    <row r="156" spans="3:3" ht="30" customHeight="1">
      <c r="C156"/>
    </row>
    <row r="157" spans="3:3" ht="30" customHeight="1">
      <c r="C157"/>
    </row>
    <row r="158" spans="3:3" ht="30" customHeight="1">
      <c r="C158"/>
    </row>
    <row r="159" spans="3:3" ht="30" customHeight="1">
      <c r="C159"/>
    </row>
    <row r="160" spans="3:3" ht="30" customHeight="1">
      <c r="C160"/>
    </row>
    <row r="161" spans="3:3" ht="30" customHeight="1">
      <c r="C161"/>
    </row>
    <row r="162" spans="3:3" ht="30" customHeight="1">
      <c r="C162"/>
    </row>
    <row r="163" spans="3:3" ht="30" customHeight="1">
      <c r="C163"/>
    </row>
    <row r="164" spans="3:3" ht="30" customHeight="1">
      <c r="C164"/>
    </row>
    <row r="165" spans="3:3" ht="30" customHeight="1">
      <c r="C165"/>
    </row>
    <row r="166" spans="3:3" ht="30" customHeight="1">
      <c r="C166"/>
    </row>
    <row r="167" spans="3:3" ht="30" customHeight="1">
      <c r="C167"/>
    </row>
    <row r="168" spans="3:3" ht="30" customHeight="1">
      <c r="C168"/>
    </row>
    <row r="169" spans="3:3" ht="30" customHeight="1">
      <c r="C169"/>
    </row>
    <row r="170" spans="3:3" ht="30" customHeight="1">
      <c r="C170"/>
    </row>
    <row r="171" spans="3:3" ht="30" customHeight="1">
      <c r="C171"/>
    </row>
    <row r="172" spans="3:3" ht="30" customHeight="1">
      <c r="C172"/>
    </row>
    <row r="173" spans="3:3" ht="30" customHeight="1">
      <c r="C173"/>
    </row>
    <row r="174" spans="3:3" ht="30" customHeight="1">
      <c r="C174"/>
    </row>
    <row r="175" spans="3:3" ht="30" customHeight="1">
      <c r="C175"/>
    </row>
    <row r="176" spans="3:3" ht="30" customHeight="1">
      <c r="C176"/>
    </row>
    <row r="177" spans="3:3" ht="30" customHeight="1">
      <c r="C177"/>
    </row>
    <row r="178" spans="3:3" ht="30" customHeight="1">
      <c r="C178"/>
    </row>
    <row r="179" spans="3:3" ht="30" customHeight="1">
      <c r="C179"/>
    </row>
    <row r="180" spans="3:3" ht="30" customHeight="1">
      <c r="C180"/>
    </row>
    <row r="181" spans="3:3" ht="30" customHeight="1">
      <c r="C181"/>
    </row>
    <row r="182" spans="3:3" ht="30" customHeight="1">
      <c r="C182"/>
    </row>
    <row r="183" spans="3:3" ht="30" customHeight="1">
      <c r="C183"/>
    </row>
    <row r="184" spans="3:3" ht="30" customHeight="1">
      <c r="C184"/>
    </row>
    <row r="185" spans="3:3" ht="30" customHeight="1">
      <c r="C185"/>
    </row>
    <row r="186" spans="3:3" ht="30" customHeight="1">
      <c r="C186"/>
    </row>
    <row r="187" spans="3:3" ht="30" customHeight="1">
      <c r="C187"/>
    </row>
    <row r="188" spans="3:3" ht="30" customHeight="1">
      <c r="C188"/>
    </row>
    <row r="189" spans="3:3" ht="30" customHeight="1">
      <c r="C189"/>
    </row>
    <row r="190" spans="3:3" ht="30" customHeight="1">
      <c r="C190"/>
    </row>
    <row r="191" spans="3:3" ht="30" customHeight="1">
      <c r="C191"/>
    </row>
    <row r="192" spans="3:3" ht="30" customHeight="1">
      <c r="C192"/>
    </row>
    <row r="193" spans="3:3" ht="30" customHeight="1">
      <c r="C193"/>
    </row>
    <row r="194" spans="3:3" ht="30" customHeight="1">
      <c r="C194"/>
    </row>
    <row r="195" spans="3:3" ht="30" customHeight="1">
      <c r="C195"/>
    </row>
    <row r="196" spans="3:3" ht="30" customHeight="1">
      <c r="C196"/>
    </row>
    <row r="197" spans="3:3" ht="30" customHeight="1">
      <c r="C197"/>
    </row>
    <row r="198" spans="3:3" ht="30" customHeight="1">
      <c r="C198"/>
    </row>
    <row r="199" spans="3:3" ht="30" customHeight="1">
      <c r="C199"/>
    </row>
    <row r="200" spans="3:3" ht="30" customHeight="1">
      <c r="C200"/>
    </row>
    <row r="201" spans="3:3" ht="30" customHeight="1">
      <c r="C201"/>
    </row>
    <row r="202" spans="3:3" ht="30" customHeight="1">
      <c r="C202"/>
    </row>
    <row r="203" spans="3:3" ht="30" customHeight="1">
      <c r="C203"/>
    </row>
    <row r="204" spans="3:3" ht="30" customHeight="1">
      <c r="C204"/>
    </row>
    <row r="205" spans="3:3" ht="30" customHeight="1">
      <c r="C205"/>
    </row>
    <row r="206" spans="3:3" ht="30" customHeight="1">
      <c r="C206"/>
    </row>
    <row r="207" spans="3:3" ht="30" customHeight="1">
      <c r="C207"/>
    </row>
    <row r="208" spans="3:3" ht="30" customHeight="1">
      <c r="C208"/>
    </row>
    <row r="209" spans="3:3" ht="30" customHeight="1">
      <c r="C209"/>
    </row>
    <row r="210" spans="3:3" ht="30" customHeight="1">
      <c r="C210"/>
    </row>
    <row r="211" spans="3:3" ht="30" customHeight="1">
      <c r="C211"/>
    </row>
    <row r="212" spans="3:3" ht="30" customHeight="1">
      <c r="C212"/>
    </row>
    <row r="213" spans="3:3" ht="30" customHeight="1">
      <c r="C213"/>
    </row>
    <row r="214" spans="3:3" ht="30" customHeight="1">
      <c r="C214"/>
    </row>
    <row r="215" spans="3:3" ht="30" customHeight="1">
      <c r="C215"/>
    </row>
    <row r="216" spans="3:3" ht="30" customHeight="1">
      <c r="C216"/>
    </row>
    <row r="217" spans="3:3" ht="30" customHeight="1">
      <c r="C217"/>
    </row>
    <row r="218" spans="3:3" ht="30" customHeight="1">
      <c r="C218"/>
    </row>
    <row r="219" spans="3:3" ht="30" customHeight="1">
      <c r="C219"/>
    </row>
    <row r="220" spans="3:3" ht="30" customHeight="1">
      <c r="C220"/>
    </row>
    <row r="221" spans="3:3" ht="30" customHeight="1">
      <c r="C221"/>
    </row>
    <row r="222" spans="3:3" ht="30" customHeight="1">
      <c r="C222"/>
    </row>
    <row r="223" spans="3:3" ht="30" customHeight="1">
      <c r="C223"/>
    </row>
    <row r="224" spans="3:3" ht="30" customHeight="1">
      <c r="C224"/>
    </row>
    <row r="225" spans="3:3" ht="30" customHeight="1">
      <c r="C225"/>
    </row>
    <row r="226" spans="3:3" ht="30" customHeight="1">
      <c r="C226"/>
    </row>
    <row r="227" spans="3:3" ht="30" customHeight="1">
      <c r="C227"/>
    </row>
    <row r="228" spans="3:3" ht="30" customHeight="1"/>
    <row r="229" spans="3:3" ht="30" customHeight="1"/>
    <row r="230" spans="3:3" ht="30" customHeight="1"/>
    <row r="231" spans="3:3" ht="30" customHeight="1"/>
    <row r="232" spans="3:3" ht="30" customHeight="1"/>
    <row r="233" spans="3:3" ht="30" customHeight="1"/>
    <row r="234" spans="3:3" ht="30" customHeight="1"/>
    <row r="235" spans="3:3" ht="30" customHeight="1"/>
    <row r="236" spans="3:3" ht="30" customHeight="1"/>
    <row r="237" spans="3:3" ht="30" customHeight="1"/>
    <row r="238" spans="3:3" ht="30" customHeight="1"/>
    <row r="239" spans="3:3" ht="30" customHeight="1"/>
    <row r="240" spans="3:3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XFD558"/>
  <sheetViews>
    <sheetView showGridLines="0" zoomScale="70" zoomScaleNormal="70" zoomScalePageLayoutView="80" workbookViewId="0">
      <pane ySplit="5" topLeftCell="A12" activePane="bottomLeft" state="frozen"/>
      <selection activeCell="G3" sqref="G3"/>
      <selection pane="bottomLeft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14.19921875" style="6" customWidth="1"/>
    <col min="4" max="15" width="13.09765625" style="6" customWidth="1"/>
    <col min="16" max="22" width="10.69921875" style="6" customWidth="1"/>
    <col min="23" max="16384" width="11" style="6"/>
  </cols>
  <sheetData>
    <row r="1" spans="1:16384" s="24" customFormat="1" ht="39" customHeight="1">
      <c r="D1" s="7"/>
    </row>
    <row r="2" spans="1:16384" s="2" customFormat="1" ht="30" customHeight="1">
      <c r="C2" s="5"/>
      <c r="D2" s="5"/>
      <c r="E2" s="5"/>
      <c r="F2" s="5"/>
      <c r="G2" s="5"/>
      <c r="H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C4" s="10"/>
      <c r="D4" s="10"/>
      <c r="E4" s="10"/>
      <c r="F4" s="10"/>
      <c r="G4" s="10"/>
      <c r="H4" s="10"/>
    </row>
    <row r="5" spans="1:16384" ht="30" customHeight="1" thickTop="1" thickBot="1">
      <c r="C5" s="26"/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</row>
    <row r="6" spans="1:16384" ht="30" customHeight="1" thickTop="1" thickBot="1">
      <c r="C6" s="26" t="s">
        <v>17</v>
      </c>
      <c r="D6" s="37">
        <f>FAT!D6</f>
        <v>20000</v>
      </c>
      <c r="E6" s="37">
        <f>FAT!E6</f>
        <v>20000</v>
      </c>
      <c r="F6" s="37">
        <f>FAT!F6</f>
        <v>25000</v>
      </c>
      <c r="G6" s="37">
        <f>FAT!G6</f>
        <v>15000</v>
      </c>
      <c r="H6" s="37">
        <f>FAT!H6</f>
        <v>10000</v>
      </c>
      <c r="I6" s="37">
        <f>FAT!I6</f>
        <v>35000</v>
      </c>
      <c r="J6" s="37">
        <f>FAT!J6</f>
        <v>15000</v>
      </c>
      <c r="K6" s="37">
        <f>FAT!K6</f>
        <v>20000</v>
      </c>
      <c r="L6" s="37">
        <f>FAT!L6</f>
        <v>35000</v>
      </c>
      <c r="M6" s="37">
        <f>FAT!M6</f>
        <v>25000</v>
      </c>
      <c r="N6" s="37">
        <f>FAT!N6</f>
        <v>20000</v>
      </c>
      <c r="O6" s="37">
        <f>FAT!O6</f>
        <v>15000</v>
      </c>
    </row>
    <row r="7" spans="1:16384" ht="30" customHeight="1" thickTop="1" thickBot="1">
      <c r="C7" s="26" t="s">
        <v>15</v>
      </c>
      <c r="D7" s="37">
        <f>FAT!D7</f>
        <v>1</v>
      </c>
      <c r="E7" s="37">
        <f>FAT!E7</f>
        <v>1</v>
      </c>
      <c r="F7" s="37">
        <f>FAT!F7</f>
        <v>1</v>
      </c>
      <c r="G7" s="37">
        <f>FAT!G7</f>
        <v>1</v>
      </c>
      <c r="H7" s="37">
        <f>FAT!H7</f>
        <v>1</v>
      </c>
      <c r="I7" s="37">
        <f>FAT!I7</f>
        <v>1</v>
      </c>
      <c r="J7" s="37">
        <f>FAT!J7</f>
        <v>1</v>
      </c>
      <c r="K7" s="37">
        <f>FAT!K7</f>
        <v>1</v>
      </c>
      <c r="L7" s="37">
        <f>FAT!L7</f>
        <v>1</v>
      </c>
      <c r="M7" s="37">
        <f>FAT!M7</f>
        <v>1</v>
      </c>
      <c r="N7" s="37">
        <f>FAT!N7</f>
        <v>1</v>
      </c>
      <c r="O7" s="37">
        <f>FAT!O7</f>
        <v>1</v>
      </c>
    </row>
    <row r="8" spans="1:16384" ht="30" customHeight="1" thickTop="1" thickBot="1">
      <c r="C8" s="26" t="s">
        <v>40</v>
      </c>
      <c r="D8" s="42">
        <f>D6+D7</f>
        <v>20001</v>
      </c>
      <c r="E8" s="42">
        <f t="shared" ref="E8:O8" si="0">E6+E7</f>
        <v>20001</v>
      </c>
      <c r="F8" s="42">
        <f t="shared" si="0"/>
        <v>25001</v>
      </c>
      <c r="G8" s="42">
        <f t="shared" si="0"/>
        <v>15001</v>
      </c>
      <c r="H8" s="42">
        <f t="shared" si="0"/>
        <v>10001</v>
      </c>
      <c r="I8" s="42">
        <f t="shared" si="0"/>
        <v>35001</v>
      </c>
      <c r="J8" s="42">
        <f t="shared" si="0"/>
        <v>15001</v>
      </c>
      <c r="K8" s="42">
        <f t="shared" si="0"/>
        <v>20001</v>
      </c>
      <c r="L8" s="42">
        <f t="shared" si="0"/>
        <v>35001</v>
      </c>
      <c r="M8" s="42">
        <f t="shared" si="0"/>
        <v>25001</v>
      </c>
      <c r="N8" s="42">
        <f t="shared" si="0"/>
        <v>20001</v>
      </c>
      <c r="O8" s="42">
        <f t="shared" si="0"/>
        <v>15001</v>
      </c>
    </row>
    <row r="9" spans="1:16384" ht="30" customHeight="1" thickTop="1" thickBot="1">
      <c r="C9" s="26" t="s">
        <v>6</v>
      </c>
      <c r="D9" s="37">
        <f>SUMIFS(IMP!$H$20:$H$27,IMP!$E$20:$E$27,$C9,IMP!$C$20:$C$27,"vendas")*D$8</f>
        <v>0</v>
      </c>
      <c r="E9" s="37">
        <f>SUMIFS(IMP!$H$20:$H$27,IMP!$E$20:$E$27,$C9,IMP!$C$20:$C$27,"vendas")*E$8</f>
        <v>0</v>
      </c>
      <c r="F9" s="37">
        <f>SUMIFS(IMP!$H$20:$H$27,IMP!$E$20:$E$27,$C9,IMP!$C$20:$C$27,"vendas")*F$8</f>
        <v>0</v>
      </c>
      <c r="G9" s="37">
        <f>SUMIFS(IMP!$H$20:$H$27,IMP!$E$20:$E$27,$C9,IMP!$C$20:$C$27,"vendas")*G$8</f>
        <v>0</v>
      </c>
      <c r="H9" s="37">
        <f>SUMIFS(IMP!$H$20:$H$27,IMP!$E$20:$E$27,$C9,IMP!$C$20:$C$27,"vendas")*H$8</f>
        <v>0</v>
      </c>
      <c r="I9" s="37">
        <f>SUMIFS(IMP!$H$20:$H$27,IMP!$E$20:$E$27,$C9,IMP!$C$20:$C$27,"vendas")*I$8</f>
        <v>0</v>
      </c>
      <c r="J9" s="37">
        <f>SUMIFS(IMP!$H$20:$H$27,IMP!$E$20:$E$27,$C9,IMP!$C$20:$C$27,"vendas")*J$8</f>
        <v>0</v>
      </c>
      <c r="K9" s="37">
        <f>SUMIFS(IMP!$H$20:$H$27,IMP!$E$20:$E$27,$C9,IMP!$C$20:$C$27,"vendas")*K$8</f>
        <v>0</v>
      </c>
      <c r="L9" s="37">
        <f>SUMIFS(IMP!$H$20:$H$27,IMP!$E$20:$E$27,$C9,IMP!$C$20:$C$27,"vendas")*L$8</f>
        <v>0</v>
      </c>
      <c r="M9" s="37">
        <f>SUMIFS(IMP!$H$20:$H$27,IMP!$E$20:$E$27,$C9,IMP!$C$20:$C$27,"vendas")*M$8</f>
        <v>0</v>
      </c>
      <c r="N9" s="37">
        <f>SUMIFS(IMP!$H$20:$H$27,IMP!$E$20:$E$27,$C9,IMP!$C$20:$C$27,"vendas")*N$8</f>
        <v>0</v>
      </c>
      <c r="O9" s="37">
        <f>SUMIFS(IMP!$H$20:$H$27,IMP!$E$20:$E$27,$C9,IMP!$C$20:$C$27,"vendas")*O$8</f>
        <v>0</v>
      </c>
    </row>
    <row r="10" spans="1:16384" ht="30" customHeight="1" thickTop="1" thickBot="1">
      <c r="C10" s="26" t="s">
        <v>5</v>
      </c>
      <c r="D10" s="37">
        <f>SUMIFS(IMP!$H$20:$H$27,IMP!$E$20:$E$27,$C10,IMP!$C$20:$C$27,"vendas")*D$8</f>
        <v>1000.0500000000001</v>
      </c>
      <c r="E10" s="37">
        <f>SUMIFS(IMP!$H$20:$H$27,IMP!$E$20:$E$27,$C10,IMP!$C$20:$C$27,"vendas")*E$8</f>
        <v>1000.0500000000001</v>
      </c>
      <c r="F10" s="37">
        <f>SUMIFS(IMP!$H$20:$H$27,IMP!$E$20:$E$27,$C10,IMP!$C$20:$C$27,"vendas")*F$8</f>
        <v>1250.0500000000002</v>
      </c>
      <c r="G10" s="37">
        <f>SUMIFS(IMP!$H$20:$H$27,IMP!$E$20:$E$27,$C10,IMP!$C$20:$C$27,"vendas")*G$8</f>
        <v>750.05000000000007</v>
      </c>
      <c r="H10" s="37">
        <f>SUMIFS(IMP!$H$20:$H$27,IMP!$E$20:$E$27,$C10,IMP!$C$20:$C$27,"vendas")*H$8</f>
        <v>500.05</v>
      </c>
      <c r="I10" s="37">
        <f>SUMIFS(IMP!$H$20:$H$27,IMP!$E$20:$E$27,$C10,IMP!$C$20:$C$27,"vendas")*I$8</f>
        <v>1750.0500000000002</v>
      </c>
      <c r="J10" s="37">
        <f>SUMIFS(IMP!$H$20:$H$27,IMP!$E$20:$E$27,$C10,IMP!$C$20:$C$27,"vendas")*J$8</f>
        <v>750.05000000000007</v>
      </c>
      <c r="K10" s="37">
        <f>SUMIFS(IMP!$H$20:$H$27,IMP!$E$20:$E$27,$C10,IMP!$C$20:$C$27,"vendas")*K$8</f>
        <v>1000.0500000000001</v>
      </c>
      <c r="L10" s="37">
        <f>SUMIFS(IMP!$H$20:$H$27,IMP!$E$20:$E$27,$C10,IMP!$C$20:$C$27,"vendas")*L$8</f>
        <v>1750.0500000000002</v>
      </c>
      <c r="M10" s="37">
        <f>SUMIFS(IMP!$H$20:$H$27,IMP!$E$20:$E$27,$C10,IMP!$C$20:$C$27,"vendas")*M$8</f>
        <v>1250.0500000000002</v>
      </c>
      <c r="N10" s="37">
        <f>SUMIFS(IMP!$H$20:$H$27,IMP!$E$20:$E$27,$C10,IMP!$C$20:$C$27,"vendas")*N$8</f>
        <v>1000.0500000000001</v>
      </c>
      <c r="O10" s="37">
        <f>SUMIFS(IMP!$H$20:$H$27,IMP!$E$20:$E$27,$C10,IMP!$C$20:$C$27,"vendas")*O$8</f>
        <v>750.05000000000007</v>
      </c>
    </row>
    <row r="11" spans="1:16384" ht="30" customHeight="1" thickTop="1" thickBot="1">
      <c r="C11" s="26" t="s">
        <v>9</v>
      </c>
      <c r="D11" s="37">
        <f>SUMIFS(IMP!$H$20:$H$27,IMP!$E$20:$E$27,$C11,IMP!$C$20:$C$27,"vendas")*D$8</f>
        <v>1000.0500000000001</v>
      </c>
      <c r="E11" s="37">
        <f>SUMIFS(IMP!$H$20:$H$27,IMP!$E$20:$E$27,$C11,IMP!$C$20:$C$27,"vendas")*E$8</f>
        <v>1000.0500000000001</v>
      </c>
      <c r="F11" s="37">
        <f>SUMIFS(IMP!$H$20:$H$27,IMP!$E$20:$E$27,$C11,IMP!$C$20:$C$27,"vendas")*F$8</f>
        <v>1250.0500000000002</v>
      </c>
      <c r="G11" s="37">
        <f>SUMIFS(IMP!$H$20:$H$27,IMP!$E$20:$E$27,$C11,IMP!$C$20:$C$27,"vendas")*G$8</f>
        <v>750.05000000000007</v>
      </c>
      <c r="H11" s="37">
        <f>SUMIFS(IMP!$H$20:$H$27,IMP!$E$20:$E$27,$C11,IMP!$C$20:$C$27,"vendas")*H$8</f>
        <v>500.05</v>
      </c>
      <c r="I11" s="37">
        <f>SUMIFS(IMP!$H$20:$H$27,IMP!$E$20:$E$27,$C11,IMP!$C$20:$C$27,"vendas")*I$8</f>
        <v>1750.0500000000002</v>
      </c>
      <c r="J11" s="37">
        <f>SUMIFS(IMP!$H$20:$H$27,IMP!$E$20:$E$27,$C11,IMP!$C$20:$C$27,"vendas")*J$8</f>
        <v>750.05000000000007</v>
      </c>
      <c r="K11" s="37">
        <f>SUMIFS(IMP!$H$20:$H$27,IMP!$E$20:$E$27,$C11,IMP!$C$20:$C$27,"vendas")*K$8</f>
        <v>1000.0500000000001</v>
      </c>
      <c r="L11" s="37">
        <f>SUMIFS(IMP!$H$20:$H$27,IMP!$E$20:$E$27,$C11,IMP!$C$20:$C$27,"vendas")*L$8</f>
        <v>1750.0500000000002</v>
      </c>
      <c r="M11" s="37">
        <f>SUMIFS(IMP!$H$20:$H$27,IMP!$E$20:$E$27,$C11,IMP!$C$20:$C$27,"vendas")*M$8</f>
        <v>1250.0500000000002</v>
      </c>
      <c r="N11" s="37">
        <f>SUMIFS(IMP!$H$20:$H$27,IMP!$E$20:$E$27,$C11,IMP!$C$20:$C$27,"vendas")*N$8</f>
        <v>1000.0500000000001</v>
      </c>
      <c r="O11" s="37">
        <f>SUMIFS(IMP!$H$20:$H$27,IMP!$E$20:$E$27,$C11,IMP!$C$20:$C$27,"vendas")*O$8</f>
        <v>750.05000000000007</v>
      </c>
    </row>
    <row r="12" spans="1:16384" ht="30" customHeight="1" thickTop="1" thickBot="1">
      <c r="C12" s="26" t="s">
        <v>7</v>
      </c>
      <c r="D12" s="37">
        <f>SUMIFS(IMP!$H$20:$H$27,IMP!$E$20:$E$27,$C12,IMP!$C$20:$C$27,"vendas")*D$8</f>
        <v>330.01650000000001</v>
      </c>
      <c r="E12" s="37">
        <f>SUMIFS(IMP!$H$20:$H$27,IMP!$E$20:$E$27,$C12,IMP!$C$20:$C$27,"vendas")*E$8</f>
        <v>330.01650000000001</v>
      </c>
      <c r="F12" s="37">
        <f>SUMIFS(IMP!$H$20:$H$27,IMP!$E$20:$E$27,$C12,IMP!$C$20:$C$27,"vendas")*F$8</f>
        <v>412.51650000000001</v>
      </c>
      <c r="G12" s="37">
        <f>SUMIFS(IMP!$H$20:$H$27,IMP!$E$20:$E$27,$C12,IMP!$C$20:$C$27,"vendas")*G$8</f>
        <v>247.51650000000001</v>
      </c>
      <c r="H12" s="37">
        <f>SUMIFS(IMP!$H$20:$H$27,IMP!$E$20:$E$27,$C12,IMP!$C$20:$C$27,"vendas")*H$8</f>
        <v>165.01650000000001</v>
      </c>
      <c r="I12" s="37">
        <f>SUMIFS(IMP!$H$20:$H$27,IMP!$E$20:$E$27,$C12,IMP!$C$20:$C$27,"vendas")*I$8</f>
        <v>577.51650000000006</v>
      </c>
      <c r="J12" s="37">
        <f>SUMIFS(IMP!$H$20:$H$27,IMP!$E$20:$E$27,$C12,IMP!$C$20:$C$27,"vendas")*J$8</f>
        <v>247.51650000000001</v>
      </c>
      <c r="K12" s="37">
        <f>SUMIFS(IMP!$H$20:$H$27,IMP!$E$20:$E$27,$C12,IMP!$C$20:$C$27,"vendas")*K$8</f>
        <v>330.01650000000001</v>
      </c>
      <c r="L12" s="37">
        <f>SUMIFS(IMP!$H$20:$H$27,IMP!$E$20:$E$27,$C12,IMP!$C$20:$C$27,"vendas")*L$8</f>
        <v>577.51650000000006</v>
      </c>
      <c r="M12" s="37">
        <f>SUMIFS(IMP!$H$20:$H$27,IMP!$E$20:$E$27,$C12,IMP!$C$20:$C$27,"vendas")*M$8</f>
        <v>412.51650000000001</v>
      </c>
      <c r="N12" s="37">
        <f>SUMIFS(IMP!$H$20:$H$27,IMP!$E$20:$E$27,$C12,IMP!$C$20:$C$27,"vendas")*N$8</f>
        <v>330.01650000000001</v>
      </c>
      <c r="O12" s="37">
        <f>SUMIFS(IMP!$H$20:$H$27,IMP!$E$20:$E$27,$C12,IMP!$C$20:$C$27,"vendas")*O$8</f>
        <v>247.51650000000001</v>
      </c>
    </row>
    <row r="13" spans="1:16384" ht="30" customHeight="1" thickTop="1" thickBot="1">
      <c r="C13" s="26" t="s">
        <v>8</v>
      </c>
      <c r="D13" s="37">
        <f>SUMIFS(IMP!$H$20:$H$27,IMP!$E$20:$E$27,$C13,IMP!$C$20:$C$27,"vendas")*D$8</f>
        <v>1520.076</v>
      </c>
      <c r="E13" s="37">
        <f>SUMIFS(IMP!$H$20:$H$27,IMP!$E$20:$E$27,$C13,IMP!$C$20:$C$27,"vendas")*E$8</f>
        <v>1520.076</v>
      </c>
      <c r="F13" s="37">
        <f>SUMIFS(IMP!$H$20:$H$27,IMP!$E$20:$E$27,$C13,IMP!$C$20:$C$27,"vendas")*F$8</f>
        <v>1900.076</v>
      </c>
      <c r="G13" s="37">
        <f>SUMIFS(IMP!$H$20:$H$27,IMP!$E$20:$E$27,$C13,IMP!$C$20:$C$27,"vendas")*G$8</f>
        <v>1140.076</v>
      </c>
      <c r="H13" s="37">
        <f>SUMIFS(IMP!$H$20:$H$27,IMP!$E$20:$E$27,$C13,IMP!$C$20:$C$27,"vendas")*H$8</f>
        <v>760.07600000000002</v>
      </c>
      <c r="I13" s="37">
        <f>SUMIFS(IMP!$H$20:$H$27,IMP!$E$20:$E$27,$C13,IMP!$C$20:$C$27,"vendas")*I$8</f>
        <v>2660.076</v>
      </c>
      <c r="J13" s="37">
        <f>SUMIFS(IMP!$H$20:$H$27,IMP!$E$20:$E$27,$C13,IMP!$C$20:$C$27,"vendas")*J$8</f>
        <v>1140.076</v>
      </c>
      <c r="K13" s="37">
        <f>SUMIFS(IMP!$H$20:$H$27,IMP!$E$20:$E$27,$C13,IMP!$C$20:$C$27,"vendas")*K$8</f>
        <v>1520.076</v>
      </c>
      <c r="L13" s="37">
        <f>SUMIFS(IMP!$H$20:$H$27,IMP!$E$20:$E$27,$C13,IMP!$C$20:$C$27,"vendas")*L$8</f>
        <v>2660.076</v>
      </c>
      <c r="M13" s="37">
        <f>SUMIFS(IMP!$H$20:$H$27,IMP!$E$20:$E$27,$C13,IMP!$C$20:$C$27,"vendas")*M$8</f>
        <v>1900.076</v>
      </c>
      <c r="N13" s="37">
        <f>SUMIFS(IMP!$H$20:$H$27,IMP!$E$20:$E$27,$C13,IMP!$C$20:$C$27,"vendas")*N$8</f>
        <v>1520.076</v>
      </c>
      <c r="O13" s="37">
        <f>SUMIFS(IMP!$H$20:$H$27,IMP!$E$20:$E$27,$C13,IMP!$C$20:$C$27,"vendas")*O$8</f>
        <v>1140.076</v>
      </c>
    </row>
    <row r="14" spans="1:16384" ht="30" customHeight="1" thickTop="1" thickBot="1">
      <c r="C14" s="44" t="s">
        <v>79</v>
      </c>
      <c r="D14" s="42">
        <f t="shared" ref="D14:O14" si="1">D8-SUM(D9:D13)</f>
        <v>16150.807499999999</v>
      </c>
      <c r="E14" s="42">
        <f t="shared" si="1"/>
        <v>16150.807499999999</v>
      </c>
      <c r="F14" s="42">
        <f t="shared" si="1"/>
        <v>20188.307499999999</v>
      </c>
      <c r="G14" s="42">
        <f t="shared" si="1"/>
        <v>12113.307499999999</v>
      </c>
      <c r="H14" s="42">
        <f t="shared" si="1"/>
        <v>8075.8074999999999</v>
      </c>
      <c r="I14" s="42">
        <f t="shared" si="1"/>
        <v>28263.307499999999</v>
      </c>
      <c r="J14" s="42">
        <f t="shared" si="1"/>
        <v>12113.307499999999</v>
      </c>
      <c r="K14" s="42">
        <f t="shared" si="1"/>
        <v>16150.807499999999</v>
      </c>
      <c r="L14" s="42">
        <f t="shared" si="1"/>
        <v>28263.307499999999</v>
      </c>
      <c r="M14" s="42">
        <f t="shared" si="1"/>
        <v>20188.307499999999</v>
      </c>
      <c r="N14" s="42">
        <f t="shared" si="1"/>
        <v>16150.807499999999</v>
      </c>
      <c r="O14" s="42">
        <f t="shared" si="1"/>
        <v>12113.307499999999</v>
      </c>
    </row>
    <row r="15" spans="1:16384" ht="30" customHeight="1" thickTop="1" thickBot="1">
      <c r="C15" s="26" t="s">
        <v>37</v>
      </c>
      <c r="D15" s="37">
        <f>FAT!D8</f>
        <v>0</v>
      </c>
      <c r="E15" s="37">
        <f>FAT!E8</f>
        <v>0</v>
      </c>
      <c r="F15" s="37">
        <f>FAT!F8</f>
        <v>0</v>
      </c>
      <c r="G15" s="37">
        <f>FAT!G8</f>
        <v>0</v>
      </c>
      <c r="H15" s="37">
        <f>FAT!H8</f>
        <v>0</v>
      </c>
      <c r="I15" s="37">
        <f>FAT!I8</f>
        <v>0</v>
      </c>
      <c r="J15" s="37">
        <f>FAT!J8</f>
        <v>0</v>
      </c>
      <c r="K15" s="37">
        <f>FAT!K8</f>
        <v>0</v>
      </c>
      <c r="L15" s="37">
        <f>FAT!L8</f>
        <v>0</v>
      </c>
      <c r="M15" s="37">
        <f>FAT!M8</f>
        <v>0</v>
      </c>
      <c r="N15" s="37">
        <f>FAT!N8</f>
        <v>0</v>
      </c>
      <c r="O15" s="37">
        <f>FAT!O8</f>
        <v>0</v>
      </c>
    </row>
    <row r="16" spans="1:16384" ht="30" customHeight="1" thickTop="1" thickBot="1">
      <c r="C16" s="26" t="s">
        <v>38</v>
      </c>
      <c r="D16" s="37">
        <f>FAT!D9</f>
        <v>1500</v>
      </c>
      <c r="E16" s="37">
        <f>FAT!E9</f>
        <v>1000</v>
      </c>
      <c r="F16" s="37">
        <f>FAT!F9</f>
        <v>0</v>
      </c>
      <c r="G16" s="37">
        <f>FAT!G9</f>
        <v>1500</v>
      </c>
      <c r="H16" s="37">
        <f>FAT!H9</f>
        <v>0</v>
      </c>
      <c r="I16" s="37">
        <f>FAT!I9</f>
        <v>1500</v>
      </c>
      <c r="J16" s="37">
        <f>FAT!J9</f>
        <v>0</v>
      </c>
      <c r="K16" s="37">
        <f>FAT!K9</f>
        <v>350</v>
      </c>
      <c r="L16" s="37">
        <f>FAT!L9</f>
        <v>850</v>
      </c>
      <c r="M16" s="37">
        <f>FAT!M9</f>
        <v>900</v>
      </c>
      <c r="N16" s="37">
        <f>FAT!N9</f>
        <v>1200</v>
      </c>
      <c r="O16" s="37">
        <f>FAT!O9</f>
        <v>1200</v>
      </c>
    </row>
    <row r="17" spans="3:15" ht="30" customHeight="1" thickTop="1" thickBot="1">
      <c r="C17" s="26" t="s">
        <v>41</v>
      </c>
      <c r="D17" s="42">
        <f>D14-SUM(D15:D16)</f>
        <v>14650.807499999999</v>
      </c>
      <c r="E17" s="42">
        <f t="shared" ref="E17:O17" si="2">E14-SUM(E15:E16)</f>
        <v>15150.807499999999</v>
      </c>
      <c r="F17" s="42">
        <f t="shared" si="2"/>
        <v>20188.307499999999</v>
      </c>
      <c r="G17" s="42">
        <f t="shared" si="2"/>
        <v>10613.307499999999</v>
      </c>
      <c r="H17" s="42">
        <f t="shared" si="2"/>
        <v>8075.8074999999999</v>
      </c>
      <c r="I17" s="42">
        <f t="shared" si="2"/>
        <v>26763.307499999999</v>
      </c>
      <c r="J17" s="42">
        <f t="shared" si="2"/>
        <v>12113.307499999999</v>
      </c>
      <c r="K17" s="42">
        <f t="shared" si="2"/>
        <v>15800.807499999999</v>
      </c>
      <c r="L17" s="42">
        <f t="shared" si="2"/>
        <v>27413.307499999999</v>
      </c>
      <c r="M17" s="42">
        <f t="shared" si="2"/>
        <v>19288.307499999999</v>
      </c>
      <c r="N17" s="42">
        <f t="shared" si="2"/>
        <v>14950.807499999999</v>
      </c>
      <c r="O17" s="42">
        <f t="shared" si="2"/>
        <v>10913.307499999999</v>
      </c>
    </row>
    <row r="18" spans="3:15" ht="30" customHeight="1" thickTop="1" thickBot="1">
      <c r="C18" s="26" t="s">
        <v>39</v>
      </c>
      <c r="D18" s="37">
        <f>FAT!D10</f>
        <v>2000</v>
      </c>
      <c r="E18" s="37">
        <f>FAT!E10</f>
        <v>2000</v>
      </c>
      <c r="F18" s="37">
        <f>FAT!F10</f>
        <v>2500</v>
      </c>
      <c r="G18" s="37">
        <f>FAT!G10</f>
        <v>1500</v>
      </c>
      <c r="H18" s="37">
        <f>FAT!H10</f>
        <v>1000</v>
      </c>
      <c r="I18" s="37">
        <f>FAT!I10</f>
        <v>3500</v>
      </c>
      <c r="J18" s="37">
        <f>FAT!J10</f>
        <v>1500</v>
      </c>
      <c r="K18" s="37">
        <f>FAT!K10</f>
        <v>2000</v>
      </c>
      <c r="L18" s="37">
        <f>FAT!L10</f>
        <v>2500</v>
      </c>
      <c r="M18" s="37">
        <f>FAT!M10</f>
        <v>2500</v>
      </c>
      <c r="N18" s="37">
        <f>FAT!N10</f>
        <v>2000</v>
      </c>
      <c r="O18" s="37">
        <f>FAT!O10</f>
        <v>1500</v>
      </c>
    </row>
    <row r="19" spans="3:15" ht="30" customHeight="1" thickTop="1" thickBot="1">
      <c r="C19" s="26" t="s">
        <v>42</v>
      </c>
      <c r="D19" s="42">
        <f t="shared" ref="D19:O19" si="3">D17-D18</f>
        <v>12650.807499999999</v>
      </c>
      <c r="E19" s="42">
        <f t="shared" si="3"/>
        <v>13150.807499999999</v>
      </c>
      <c r="F19" s="42">
        <f t="shared" si="3"/>
        <v>17688.307499999999</v>
      </c>
      <c r="G19" s="42">
        <f t="shared" si="3"/>
        <v>9113.307499999999</v>
      </c>
      <c r="H19" s="42">
        <f t="shared" si="3"/>
        <v>7075.8074999999999</v>
      </c>
      <c r="I19" s="42">
        <f t="shared" si="3"/>
        <v>23263.307499999999</v>
      </c>
      <c r="J19" s="42">
        <f t="shared" si="3"/>
        <v>10613.307499999999</v>
      </c>
      <c r="K19" s="42">
        <f t="shared" si="3"/>
        <v>13800.807499999999</v>
      </c>
      <c r="L19" s="42">
        <f t="shared" si="3"/>
        <v>24913.307499999999</v>
      </c>
      <c r="M19" s="42">
        <f t="shared" si="3"/>
        <v>16788.307499999999</v>
      </c>
      <c r="N19" s="42">
        <f t="shared" si="3"/>
        <v>12950.807499999999</v>
      </c>
      <c r="O19" s="42">
        <f t="shared" si="3"/>
        <v>9413.307499999999</v>
      </c>
    </row>
    <row r="20" spans="3:15" ht="30" customHeight="1" thickTop="1" thickBot="1">
      <c r="C20" s="26" t="s">
        <v>43</v>
      </c>
      <c r="D20" s="37">
        <f>SUMIFS(IMP!$H$20:$H$27,IMP!$E$20:$E$27,"IRPJ",IMP!$F$20:$F$27,0)*D$19+MAX(0,SUMIFS(IMP!$H$20:$H$27,IMP!$E$20:$E$27,"IRPJ",IMP!$F$20:$F$27,20000)*(D$19-20000))</f>
        <v>1897.6211249999997</v>
      </c>
      <c r="E20" s="37">
        <f>SUMIFS(IMP!$H$20:$H$27,IMP!$E$20:$E$27,"IRPJ",IMP!$F$20:$F$27,0)*E$19+MAX(0,SUMIFS(IMP!$H$20:$H$27,IMP!$E$20:$E$27,"IRPJ",IMP!$F$20:$F$27,20000)*(E$19-20000))</f>
        <v>1972.6211249999997</v>
      </c>
      <c r="F20" s="37">
        <f>SUMIFS(IMP!$H$20:$H$27,IMP!$E$20:$E$27,"IRPJ",IMP!$F$20:$F$27,0)*F$19+MAX(0,SUMIFS(IMP!$H$20:$H$27,IMP!$E$20:$E$27,"IRPJ",IMP!$F$20:$F$27,20000)*(F$19-20000))</f>
        <v>2653.2461249999997</v>
      </c>
      <c r="G20" s="37">
        <f>SUMIFS(IMP!$H$20:$H$27,IMP!$E$20:$E$27,"IRPJ",IMP!$F$20:$F$27,0)*G$19+MAX(0,SUMIFS(IMP!$H$20:$H$27,IMP!$E$20:$E$27,"IRPJ",IMP!$F$20:$F$27,20000)*(G$19-20000))</f>
        <v>1366.9961249999999</v>
      </c>
      <c r="H20" s="37">
        <f>SUMIFS(IMP!$H$20:$H$27,IMP!$E$20:$E$27,"IRPJ",IMP!$F$20:$F$27,0)*H$19+MAX(0,SUMIFS(IMP!$H$20:$H$27,IMP!$E$20:$E$27,"IRPJ",IMP!$F$20:$F$27,20000)*(H$19-20000))</f>
        <v>1061.3711249999999</v>
      </c>
      <c r="I20" s="37">
        <f>SUMIFS(IMP!$H$20:$H$27,IMP!$E$20:$E$27,"IRPJ",IMP!$F$20:$F$27,0)*I$19+MAX(0,SUMIFS(IMP!$H$20:$H$27,IMP!$E$20:$E$27,"IRPJ",IMP!$F$20:$F$27,20000)*(I$19-20000))</f>
        <v>3815.8268749999997</v>
      </c>
      <c r="J20" s="37">
        <f>SUMIFS(IMP!$H$20:$H$27,IMP!$E$20:$E$27,"IRPJ",IMP!$F$20:$F$27,0)*J$19+MAX(0,SUMIFS(IMP!$H$20:$H$27,IMP!$E$20:$E$27,"IRPJ",IMP!$F$20:$F$27,20000)*(J$19-20000))</f>
        <v>1591.9961249999999</v>
      </c>
      <c r="K20" s="37">
        <f>SUMIFS(IMP!$H$20:$H$27,IMP!$E$20:$E$27,"IRPJ",IMP!$F$20:$F$27,0)*K$19+MAX(0,SUMIFS(IMP!$H$20:$H$27,IMP!$E$20:$E$27,"IRPJ",IMP!$F$20:$F$27,20000)*(K$19-20000))</f>
        <v>2070.1211249999997</v>
      </c>
      <c r="L20" s="37">
        <f>SUMIFS(IMP!$H$20:$H$27,IMP!$E$20:$E$27,"IRPJ",IMP!$F$20:$F$27,0)*L$19+MAX(0,SUMIFS(IMP!$H$20:$H$27,IMP!$E$20:$E$27,"IRPJ",IMP!$F$20:$F$27,20000)*(L$19-20000))</f>
        <v>4228.3268749999997</v>
      </c>
      <c r="M20" s="37">
        <f>SUMIFS(IMP!$H$20:$H$27,IMP!$E$20:$E$27,"IRPJ",IMP!$F$20:$F$27,0)*M$19+MAX(0,SUMIFS(IMP!$H$20:$H$27,IMP!$E$20:$E$27,"IRPJ",IMP!$F$20:$F$27,20000)*(M$19-20000))</f>
        <v>2518.2461249999997</v>
      </c>
      <c r="N20" s="37">
        <f>SUMIFS(IMP!$H$20:$H$27,IMP!$E$20:$E$27,"IRPJ",IMP!$F$20:$F$27,0)*N$19+MAX(0,SUMIFS(IMP!$H$20:$H$27,IMP!$E$20:$E$27,"IRPJ",IMP!$F$20:$F$27,20000)*(N$19-20000))</f>
        <v>1942.6211249999997</v>
      </c>
      <c r="O20" s="37">
        <f>SUMIFS(IMP!$H$20:$H$27,IMP!$E$20:$E$27,"IRPJ",IMP!$F$20:$F$27,0)*O$19+MAX(0,SUMIFS(IMP!$H$20:$H$27,IMP!$E$20:$E$27,"IRPJ",IMP!$F$20:$F$27,20000)*(O$19-20000))</f>
        <v>1411.9961249999999</v>
      </c>
    </row>
    <row r="21" spans="3:15" ht="30" customHeight="1" thickTop="1" thickBot="1">
      <c r="C21" s="26" t="s">
        <v>44</v>
      </c>
      <c r="D21" s="37">
        <f>SUMIFS(IMP!$H$20:$H$27,IMP!$E$20:$E$27,"CSLL")*D$19</f>
        <v>1138.5726749999999</v>
      </c>
      <c r="E21" s="37">
        <f>SUMIFS(IMP!$H$20:$H$27,IMP!$E$20:$E$27,"CSLL")*E$19</f>
        <v>1183.5726749999999</v>
      </c>
      <c r="F21" s="37">
        <f>SUMIFS(IMP!$H$20:$H$27,IMP!$E$20:$E$27,"CSLL")*F$19</f>
        <v>1591.9476749999999</v>
      </c>
      <c r="G21" s="37">
        <f>SUMIFS(IMP!$H$20:$H$27,IMP!$E$20:$E$27,"CSLL")*G$19</f>
        <v>820.19767499999989</v>
      </c>
      <c r="H21" s="37">
        <f>SUMIFS(IMP!$H$20:$H$27,IMP!$E$20:$E$27,"CSLL")*H$19</f>
        <v>636.822675</v>
      </c>
      <c r="I21" s="37">
        <f>SUMIFS(IMP!$H$20:$H$27,IMP!$E$20:$E$27,"CSLL")*I$19</f>
        <v>2093.6976749999999</v>
      </c>
      <c r="J21" s="37">
        <f>SUMIFS(IMP!$H$20:$H$27,IMP!$E$20:$E$27,"CSLL")*J$19</f>
        <v>955.19767499999989</v>
      </c>
      <c r="K21" s="37">
        <f>SUMIFS(IMP!$H$20:$H$27,IMP!$E$20:$E$27,"CSLL")*K$19</f>
        <v>1242.0726749999999</v>
      </c>
      <c r="L21" s="37">
        <f>SUMIFS(IMP!$H$20:$H$27,IMP!$E$20:$E$27,"CSLL")*L$19</f>
        <v>2242.1976749999999</v>
      </c>
      <c r="M21" s="37">
        <f>SUMIFS(IMP!$H$20:$H$27,IMP!$E$20:$E$27,"CSLL")*M$19</f>
        <v>1510.9476749999999</v>
      </c>
      <c r="N21" s="37">
        <f>SUMIFS(IMP!$H$20:$H$27,IMP!$E$20:$E$27,"CSLL")*N$19</f>
        <v>1165.5726749999999</v>
      </c>
      <c r="O21" s="37">
        <f>SUMIFS(IMP!$H$20:$H$27,IMP!$E$20:$E$27,"CSLL")*O$19</f>
        <v>847.19767499999989</v>
      </c>
    </row>
    <row r="22" spans="3:15" ht="30" customHeight="1" thickTop="1" thickBot="1">
      <c r="C22" s="26" t="s">
        <v>45</v>
      </c>
      <c r="D22" s="42">
        <f>D19-SUM(D20:D21)</f>
        <v>9614.6136999999999</v>
      </c>
      <c r="E22" s="42">
        <f t="shared" ref="E22:O22" si="4">E19-SUM(E20:E21)</f>
        <v>9994.6136999999999</v>
      </c>
      <c r="F22" s="42">
        <f t="shared" si="4"/>
        <v>13443.1137</v>
      </c>
      <c r="G22" s="42">
        <f t="shared" si="4"/>
        <v>6926.113699999999</v>
      </c>
      <c r="H22" s="42">
        <f t="shared" si="4"/>
        <v>5377.6136999999999</v>
      </c>
      <c r="I22" s="42">
        <f t="shared" si="4"/>
        <v>17353.782950000001</v>
      </c>
      <c r="J22" s="42">
        <f t="shared" si="4"/>
        <v>8066.113699999999</v>
      </c>
      <c r="K22" s="42">
        <f t="shared" si="4"/>
        <v>10488.6137</v>
      </c>
      <c r="L22" s="42">
        <f t="shared" si="4"/>
        <v>18442.782950000001</v>
      </c>
      <c r="M22" s="42">
        <f t="shared" si="4"/>
        <v>12759.1137</v>
      </c>
      <c r="N22" s="42">
        <f t="shared" si="4"/>
        <v>9842.6136999999999</v>
      </c>
      <c r="O22" s="42">
        <f t="shared" si="4"/>
        <v>7154.113699999999</v>
      </c>
    </row>
    <row r="23" spans="3:15" ht="30" customHeight="1" thickTop="1" thickBot="1">
      <c r="C23" s="43" t="s">
        <v>46</v>
      </c>
      <c r="D23" s="37">
        <f>D9+D10+D11+D12+D13+D20+D21</f>
        <v>6886.3863000000001</v>
      </c>
      <c r="E23" s="37">
        <f t="shared" ref="E23:O23" si="5">E9+E10+E11+E12+E13+E20+E21</f>
        <v>7006.3863000000001</v>
      </c>
      <c r="F23" s="37">
        <f t="shared" si="5"/>
        <v>9057.8863000000001</v>
      </c>
      <c r="G23" s="37">
        <f t="shared" si="5"/>
        <v>5074.8863000000001</v>
      </c>
      <c r="H23" s="37">
        <f t="shared" si="5"/>
        <v>3623.3862999999997</v>
      </c>
      <c r="I23" s="37">
        <f t="shared" si="5"/>
        <v>12647.217049999999</v>
      </c>
      <c r="J23" s="37">
        <f t="shared" si="5"/>
        <v>5434.8863000000001</v>
      </c>
      <c r="K23" s="37">
        <f t="shared" si="5"/>
        <v>7162.3863000000001</v>
      </c>
      <c r="L23" s="37">
        <f t="shared" si="5"/>
        <v>13208.217049999999</v>
      </c>
      <c r="M23" s="37">
        <f t="shared" si="5"/>
        <v>8841.8863000000001</v>
      </c>
      <c r="N23" s="37">
        <f t="shared" si="5"/>
        <v>6958.3863000000001</v>
      </c>
      <c r="O23" s="37">
        <f t="shared" si="5"/>
        <v>5146.8863000000001</v>
      </c>
    </row>
    <row r="24" spans="3:15" ht="30" customHeight="1" thickTop="1">
      <c r="C24"/>
    </row>
    <row r="25" spans="3:15" ht="30" customHeight="1">
      <c r="C25"/>
    </row>
    <row r="26" spans="3:15" ht="30" customHeight="1">
      <c r="C26"/>
    </row>
    <row r="27" spans="3:15" ht="30" customHeight="1">
      <c r="C27"/>
    </row>
    <row r="28" spans="3:15" ht="30" customHeight="1">
      <c r="C28"/>
    </row>
    <row r="29" spans="3:15" ht="30" customHeight="1">
      <c r="C29"/>
    </row>
    <row r="30" spans="3:15" ht="30" customHeight="1">
      <c r="C30"/>
    </row>
    <row r="31" spans="3:15" ht="30" customHeight="1">
      <c r="C31"/>
    </row>
    <row r="32" spans="3:15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  <row r="94" spans="3:3" ht="30" customHeight="1">
      <c r="C94"/>
    </row>
    <row r="95" spans="3:3" ht="30" customHeight="1">
      <c r="C95"/>
    </row>
    <row r="96" spans="3:3" ht="30" customHeight="1">
      <c r="C96"/>
    </row>
    <row r="97" spans="3:3" ht="30" customHeight="1">
      <c r="C97"/>
    </row>
    <row r="98" spans="3:3" ht="30" customHeight="1">
      <c r="C98"/>
    </row>
    <row r="99" spans="3:3" ht="30" customHeight="1">
      <c r="C99"/>
    </row>
    <row r="100" spans="3:3" ht="30" customHeight="1">
      <c r="C100"/>
    </row>
    <row r="101" spans="3:3" ht="30" customHeight="1">
      <c r="C101"/>
    </row>
    <row r="102" spans="3:3" ht="30" customHeight="1">
      <c r="C102"/>
    </row>
    <row r="103" spans="3:3" ht="30" customHeight="1">
      <c r="C103"/>
    </row>
    <row r="104" spans="3:3" ht="30" customHeight="1">
      <c r="C104"/>
    </row>
    <row r="105" spans="3:3" ht="30" customHeight="1">
      <c r="C105"/>
    </row>
    <row r="106" spans="3:3" ht="30" customHeight="1">
      <c r="C106"/>
    </row>
    <row r="107" spans="3:3" ht="30" customHeight="1">
      <c r="C107"/>
    </row>
    <row r="108" spans="3:3" ht="30" customHeight="1">
      <c r="C108"/>
    </row>
    <row r="109" spans="3:3" ht="30" customHeight="1">
      <c r="C109"/>
    </row>
    <row r="110" spans="3:3" ht="30" customHeight="1">
      <c r="C110"/>
    </row>
    <row r="111" spans="3:3" ht="30" customHeight="1">
      <c r="C111"/>
    </row>
    <row r="112" spans="3:3" ht="30" customHeight="1">
      <c r="C112"/>
    </row>
    <row r="113" spans="3:3" ht="30" customHeight="1">
      <c r="C113"/>
    </row>
    <row r="114" spans="3:3" ht="30" customHeight="1">
      <c r="C114"/>
    </row>
    <row r="115" spans="3:3" ht="30" customHeight="1">
      <c r="C115"/>
    </row>
    <row r="116" spans="3:3" ht="30" customHeight="1">
      <c r="C116"/>
    </row>
    <row r="117" spans="3:3" ht="30" customHeight="1">
      <c r="C117"/>
    </row>
    <row r="118" spans="3:3" ht="30" customHeight="1">
      <c r="C118"/>
    </row>
    <row r="119" spans="3:3" ht="30" customHeight="1">
      <c r="C119"/>
    </row>
    <row r="120" spans="3:3" ht="30" customHeight="1">
      <c r="C120"/>
    </row>
    <row r="121" spans="3:3" ht="30" customHeight="1">
      <c r="C121"/>
    </row>
    <row r="122" spans="3:3" ht="30" customHeight="1">
      <c r="C122"/>
    </row>
    <row r="123" spans="3:3" ht="30" customHeight="1">
      <c r="C123"/>
    </row>
    <row r="124" spans="3:3" ht="30" customHeight="1">
      <c r="C124"/>
    </row>
    <row r="125" spans="3:3" ht="30" customHeight="1">
      <c r="C125"/>
    </row>
    <row r="126" spans="3:3" ht="30" customHeight="1">
      <c r="C126"/>
    </row>
    <row r="127" spans="3:3" ht="30" customHeight="1">
      <c r="C127"/>
    </row>
    <row r="128" spans="3:3" ht="30" customHeight="1">
      <c r="C128"/>
    </row>
    <row r="129" spans="3:3" ht="30" customHeight="1">
      <c r="C129"/>
    </row>
    <row r="130" spans="3:3" ht="30" customHeight="1">
      <c r="C130"/>
    </row>
    <row r="131" spans="3:3" ht="30" customHeight="1">
      <c r="C131"/>
    </row>
    <row r="132" spans="3:3" ht="30" customHeight="1">
      <c r="C132"/>
    </row>
    <row r="133" spans="3:3" ht="30" customHeight="1">
      <c r="C133"/>
    </row>
    <row r="134" spans="3:3" ht="30" customHeight="1">
      <c r="C134"/>
    </row>
    <row r="135" spans="3:3" ht="30" customHeight="1">
      <c r="C135"/>
    </row>
    <row r="136" spans="3:3" ht="30" customHeight="1">
      <c r="C136"/>
    </row>
    <row r="137" spans="3:3" ht="30" customHeight="1">
      <c r="C137"/>
    </row>
    <row r="138" spans="3:3" ht="30" customHeight="1">
      <c r="C138"/>
    </row>
    <row r="139" spans="3:3" ht="30" customHeight="1">
      <c r="C139"/>
    </row>
    <row r="140" spans="3:3" ht="30" customHeight="1">
      <c r="C140"/>
    </row>
    <row r="141" spans="3:3" ht="30" customHeight="1">
      <c r="C141"/>
    </row>
    <row r="142" spans="3:3" ht="30" customHeight="1">
      <c r="C142"/>
    </row>
    <row r="143" spans="3:3" ht="30" customHeight="1">
      <c r="C143"/>
    </row>
    <row r="144" spans="3:3" ht="30" customHeight="1">
      <c r="C144"/>
    </row>
    <row r="145" spans="3:3" ht="30" customHeight="1">
      <c r="C145"/>
    </row>
    <row r="146" spans="3:3" ht="30" customHeight="1">
      <c r="C146"/>
    </row>
    <row r="147" spans="3:3" ht="30" customHeight="1">
      <c r="C147"/>
    </row>
    <row r="148" spans="3:3" ht="30" customHeight="1">
      <c r="C148"/>
    </row>
    <row r="149" spans="3:3" ht="30" customHeight="1">
      <c r="C149"/>
    </row>
    <row r="150" spans="3:3" ht="30" customHeight="1">
      <c r="C150"/>
    </row>
    <row r="151" spans="3:3" ht="30" customHeight="1">
      <c r="C151"/>
    </row>
    <row r="152" spans="3:3" ht="30" customHeight="1">
      <c r="C152"/>
    </row>
    <row r="153" spans="3:3" ht="30" customHeight="1">
      <c r="C153"/>
    </row>
    <row r="154" spans="3:3" ht="30" customHeight="1">
      <c r="C154"/>
    </row>
    <row r="155" spans="3:3" ht="30" customHeight="1">
      <c r="C155"/>
    </row>
    <row r="156" spans="3:3" ht="30" customHeight="1">
      <c r="C156"/>
    </row>
    <row r="157" spans="3:3" ht="30" customHeight="1">
      <c r="C157"/>
    </row>
    <row r="158" spans="3:3" ht="30" customHeight="1">
      <c r="C158"/>
    </row>
    <row r="159" spans="3:3" ht="30" customHeight="1">
      <c r="C159"/>
    </row>
    <row r="160" spans="3:3" ht="30" customHeight="1">
      <c r="C160"/>
    </row>
    <row r="161" spans="3:3" ht="30" customHeight="1">
      <c r="C161"/>
    </row>
    <row r="162" spans="3:3" ht="30" customHeight="1">
      <c r="C162"/>
    </row>
    <row r="163" spans="3:3" ht="30" customHeight="1">
      <c r="C163"/>
    </row>
    <row r="164" spans="3:3" ht="30" customHeight="1">
      <c r="C164"/>
    </row>
    <row r="165" spans="3:3" ht="30" customHeight="1">
      <c r="C165"/>
    </row>
    <row r="166" spans="3:3" ht="30" customHeight="1">
      <c r="C166"/>
    </row>
    <row r="167" spans="3:3" ht="30" customHeight="1">
      <c r="C167"/>
    </row>
    <row r="168" spans="3:3" ht="30" customHeight="1">
      <c r="C168"/>
    </row>
    <row r="169" spans="3:3" ht="30" customHeight="1">
      <c r="C169"/>
    </row>
    <row r="170" spans="3:3" ht="30" customHeight="1">
      <c r="C170"/>
    </row>
    <row r="171" spans="3:3" ht="30" customHeight="1">
      <c r="C171"/>
    </row>
    <row r="172" spans="3:3" ht="30" customHeight="1">
      <c r="C172"/>
    </row>
    <row r="173" spans="3:3" ht="30" customHeight="1">
      <c r="C173"/>
    </row>
    <row r="174" spans="3:3" ht="30" customHeight="1">
      <c r="C174"/>
    </row>
    <row r="175" spans="3:3" ht="30" customHeight="1">
      <c r="C175"/>
    </row>
    <row r="176" spans="3:3" ht="30" customHeight="1">
      <c r="C176"/>
    </row>
    <row r="177" spans="3:3" ht="30" customHeight="1">
      <c r="C177"/>
    </row>
    <row r="178" spans="3:3" ht="30" customHeight="1">
      <c r="C178"/>
    </row>
    <row r="179" spans="3:3" ht="30" customHeight="1">
      <c r="C179"/>
    </row>
    <row r="180" spans="3:3" ht="30" customHeight="1">
      <c r="C180"/>
    </row>
    <row r="181" spans="3:3" ht="30" customHeight="1">
      <c r="C181"/>
    </row>
    <row r="182" spans="3:3" ht="30" customHeight="1">
      <c r="C182"/>
    </row>
    <row r="183" spans="3:3" ht="30" customHeight="1">
      <c r="C183"/>
    </row>
    <row r="184" spans="3:3" ht="30" customHeight="1">
      <c r="C184"/>
    </row>
    <row r="185" spans="3:3" ht="30" customHeight="1">
      <c r="C185"/>
    </row>
    <row r="186" spans="3:3" ht="30" customHeight="1">
      <c r="C186"/>
    </row>
    <row r="187" spans="3:3" ht="30" customHeight="1">
      <c r="C187"/>
    </row>
    <row r="188" spans="3:3" ht="30" customHeight="1">
      <c r="C188"/>
    </row>
    <row r="189" spans="3:3" ht="30" customHeight="1">
      <c r="C189"/>
    </row>
    <row r="190" spans="3:3" ht="30" customHeight="1">
      <c r="C190"/>
    </row>
    <row r="191" spans="3:3" ht="30" customHeight="1">
      <c r="C191"/>
    </row>
    <row r="192" spans="3:3" ht="30" customHeight="1">
      <c r="C192"/>
    </row>
    <row r="193" spans="3:3" ht="30" customHeight="1">
      <c r="C193"/>
    </row>
    <row r="194" spans="3:3" ht="30" customHeight="1">
      <c r="C194"/>
    </row>
    <row r="195" spans="3:3" ht="30" customHeight="1">
      <c r="C195"/>
    </row>
    <row r="196" spans="3:3" ht="30" customHeight="1">
      <c r="C196"/>
    </row>
    <row r="197" spans="3:3" ht="30" customHeight="1">
      <c r="C197"/>
    </row>
    <row r="198" spans="3:3" ht="30" customHeight="1">
      <c r="C198"/>
    </row>
    <row r="199" spans="3:3" ht="30" customHeight="1">
      <c r="C199"/>
    </row>
    <row r="200" spans="3:3" ht="30" customHeight="1">
      <c r="C200"/>
    </row>
    <row r="201" spans="3:3" ht="30" customHeight="1">
      <c r="C201"/>
    </row>
    <row r="202" spans="3:3" ht="30" customHeight="1">
      <c r="C202"/>
    </row>
    <row r="203" spans="3:3" ht="30" customHeight="1">
      <c r="C203"/>
    </row>
    <row r="204" spans="3:3" ht="30" customHeight="1">
      <c r="C204"/>
    </row>
    <row r="205" spans="3:3" ht="30" customHeight="1">
      <c r="C205"/>
    </row>
    <row r="206" spans="3:3" ht="30" customHeight="1">
      <c r="C206"/>
    </row>
    <row r="207" spans="3:3" ht="30" customHeight="1">
      <c r="C207"/>
    </row>
    <row r="208" spans="3:3" ht="30" customHeight="1">
      <c r="C208"/>
    </row>
    <row r="209" spans="3:3" ht="30" customHeight="1">
      <c r="C209"/>
    </row>
    <row r="210" spans="3:3" ht="30" customHeight="1">
      <c r="C210"/>
    </row>
    <row r="211" spans="3:3" ht="30" customHeight="1">
      <c r="C211"/>
    </row>
    <row r="212" spans="3:3" ht="30" customHeight="1">
      <c r="C212"/>
    </row>
    <row r="213" spans="3:3" ht="30" customHeight="1"/>
    <row r="214" spans="3:3" ht="30" customHeight="1"/>
    <row r="215" spans="3:3" ht="30" customHeight="1"/>
    <row r="216" spans="3:3" ht="30" customHeight="1"/>
    <row r="217" spans="3:3" ht="30" customHeight="1"/>
    <row r="218" spans="3:3" ht="30" customHeight="1"/>
    <row r="219" spans="3:3" ht="30" customHeight="1"/>
    <row r="220" spans="3:3" ht="30" customHeight="1"/>
    <row r="221" spans="3:3" ht="30" customHeight="1"/>
    <row r="222" spans="3:3" ht="30" customHeight="1"/>
    <row r="223" spans="3:3" ht="30" customHeight="1"/>
    <row r="224" spans="3:3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XFD563"/>
  <sheetViews>
    <sheetView showGridLines="0" zoomScale="66" zoomScaleNormal="66" zoomScalePageLayoutView="80" workbookViewId="0">
      <pane ySplit="2" topLeftCell="A3" activePane="bottomLeft" state="frozen"/>
      <selection activeCell="G3" sqref="G3"/>
      <selection pane="bottomLeft" activeCell="D11" sqref="D11:F11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21.19921875" style="6" customWidth="1"/>
    <col min="4" max="15" width="11.8984375" style="6" customWidth="1"/>
    <col min="16" max="22" width="10.69921875" style="6" customWidth="1"/>
    <col min="23" max="16384" width="11" style="6"/>
  </cols>
  <sheetData>
    <row r="1" spans="1:16384" s="25" customFormat="1" ht="39" customHeight="1">
      <c r="D1" s="7"/>
    </row>
    <row r="2" spans="1:16384" s="2" customFormat="1" ht="30" customHeight="1">
      <c r="C2" s="5"/>
      <c r="D2" s="5"/>
      <c r="E2" s="5"/>
      <c r="F2" s="5"/>
      <c r="G2" s="5"/>
      <c r="H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C4" s="10"/>
      <c r="D4" s="10"/>
      <c r="E4" s="10"/>
      <c r="F4" s="10"/>
      <c r="G4" s="10"/>
      <c r="H4" s="10"/>
    </row>
    <row r="5" spans="1:16384" ht="30" customHeight="1" thickTop="1" thickBot="1">
      <c r="C5" s="26" t="s">
        <v>32</v>
      </c>
      <c r="D5" s="64" t="s">
        <v>52</v>
      </c>
      <c r="E5" s="65"/>
      <c r="F5" s="66"/>
      <c r="G5" s="64" t="s">
        <v>53</v>
      </c>
      <c r="H5" s="65"/>
      <c r="I5" s="66"/>
      <c r="J5" s="64" t="s">
        <v>54</v>
      </c>
      <c r="K5" s="65"/>
      <c r="L5" s="66"/>
      <c r="M5" s="64" t="s">
        <v>55</v>
      </c>
      <c r="N5" s="65"/>
      <c r="O5" s="66"/>
    </row>
    <row r="6" spans="1:16384" ht="30" customHeight="1" thickTop="1" thickBot="1">
      <c r="C6" s="26" t="s">
        <v>17</v>
      </c>
      <c r="D6" s="57">
        <f>FAT!D6+FAT!E6+FAT!F6</f>
        <v>65000</v>
      </c>
      <c r="E6" s="58"/>
      <c r="F6" s="58"/>
      <c r="G6" s="58">
        <f>FAT!G6+FAT!H6+FAT!I6</f>
        <v>60000</v>
      </c>
      <c r="H6" s="58"/>
      <c r="I6" s="58"/>
      <c r="J6" s="58">
        <f>FAT!J6+FAT!K6+FAT!L6</f>
        <v>70000</v>
      </c>
      <c r="K6" s="58"/>
      <c r="L6" s="58"/>
      <c r="M6" s="58">
        <f>FAT!M6+FAT!N6+FAT!O6</f>
        <v>60000</v>
      </c>
      <c r="N6" s="58"/>
      <c r="O6" s="58"/>
    </row>
    <row r="7" spans="1:16384" ht="30" customHeight="1" thickTop="1" thickBot="1">
      <c r="C7" s="26" t="s">
        <v>15</v>
      </c>
      <c r="D7" s="59">
        <f>FAT!D7+FAT!E7+FAT!F7</f>
        <v>3</v>
      </c>
      <c r="E7" s="60"/>
      <c r="F7" s="60"/>
      <c r="G7" s="60">
        <f>FAT!G7+FAT!H7+FAT!I7</f>
        <v>3</v>
      </c>
      <c r="H7" s="60"/>
      <c r="I7" s="60"/>
      <c r="J7" s="60">
        <f>FAT!J7+FAT!K7+FAT!L7</f>
        <v>3</v>
      </c>
      <c r="K7" s="60"/>
      <c r="L7" s="60"/>
      <c r="M7" s="60">
        <f>FAT!M7+FAT!N7+FAT!O7</f>
        <v>3</v>
      </c>
      <c r="N7" s="60"/>
      <c r="O7" s="60"/>
      <c r="P7" s="29"/>
    </row>
    <row r="8" spans="1:16384" ht="7.5" customHeight="1" thickTop="1" thickBot="1">
      <c r="C8" s="3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29"/>
    </row>
    <row r="9" spans="1:16384" ht="30" customHeight="1" thickTop="1" thickBot="1">
      <c r="C9" s="26" t="s">
        <v>17</v>
      </c>
      <c r="D9" s="64" t="s">
        <v>52</v>
      </c>
      <c r="E9" s="65"/>
      <c r="F9" s="66"/>
      <c r="G9" s="64" t="s">
        <v>53</v>
      </c>
      <c r="H9" s="65"/>
      <c r="I9" s="66"/>
      <c r="J9" s="64" t="s">
        <v>54</v>
      </c>
      <c r="K9" s="65"/>
      <c r="L9" s="66"/>
      <c r="M9" s="64" t="s">
        <v>55</v>
      </c>
      <c r="N9" s="65"/>
      <c r="O9" s="66"/>
      <c r="P9" s="29"/>
    </row>
    <row r="10" spans="1:16384" ht="30" customHeight="1" thickTop="1" thickBot="1">
      <c r="C10" s="26" t="s">
        <v>47</v>
      </c>
      <c r="D10" s="59">
        <f>SUMIFS(IMP!$H$30:$H$40,IMP!$E$30:$E$40,"IRPJ",IMP!$F$30:$F$40,0,IMP!$C$30:$C$40,"SERVIÇOS")*D6</f>
        <v>10400</v>
      </c>
      <c r="E10" s="60"/>
      <c r="F10" s="60"/>
      <c r="G10" s="59">
        <f>SUMIFS(IMP!$H$30:$H$40,IMP!$E$30:$E$40,"IRPJ",IMP!$F$30:$F$40,0,IMP!$C$30:$C$40,"SERVIÇOS")*G6</f>
        <v>9600</v>
      </c>
      <c r="H10" s="60"/>
      <c r="I10" s="60"/>
      <c r="J10" s="59">
        <f>SUMIFS(IMP!$H$30:$H$40,IMP!$E$30:$E$40,"IRPJ",IMP!$F$30:$F$40,0,IMP!$C$30:$C$40,"SERVIÇOS")*J6</f>
        <v>11200</v>
      </c>
      <c r="K10" s="60"/>
      <c r="L10" s="60"/>
      <c r="M10" s="59">
        <f>SUMIFS(IMP!$H$30:$H$40,IMP!$E$30:$E$40,"IRPJ",IMP!$F$30:$F$40,0,IMP!$C$30:$C$40,"SERVIÇOS")*M6</f>
        <v>9600</v>
      </c>
      <c r="N10" s="60"/>
      <c r="O10" s="60"/>
    </row>
    <row r="11" spans="1:16384" ht="30" customHeight="1" thickTop="1" thickBot="1">
      <c r="C11" s="26" t="s">
        <v>48</v>
      </c>
      <c r="D11" s="59">
        <f>SUMIFS(IMP!$I$30:$I$40,IMP!$E$30:$E$40,"IRPJ",IMP!$F$30:$F$40,0,IMP!$C$30:$C$40,"SERVIÇOS")*D$10+MAX(0,SUMIFS(IMP!$I$30:$I$40,IMP!$E$30:$E$40,"IRPJ",IMP!$F$30:$F$40,60000,IMP!$C$30:$C$40,"SERVIÇOS")*(D$10-60000))</f>
        <v>1560</v>
      </c>
      <c r="E11" s="60" t="e">
        <f>FAT!#REF!</f>
        <v>#REF!</v>
      </c>
      <c r="F11" s="60" t="e">
        <f>FAT!#REF!</f>
        <v>#REF!</v>
      </c>
      <c r="G11" s="59">
        <f>SUMIFS(IMP!$I$30:$I$40,IMP!$E$30:$E$40,"IRPJ",IMP!$F$30:$F$40,0,IMP!$C$30:$C$40,"SERVIÇOS")*G$10+MAX(0,SUMIFS(IMP!$I$30:$I$40,IMP!$E$30:$E$40,"IRPJ",IMP!$F$30:$F$40,60000,IMP!$C$30:$C$40,"SERVIÇOS")*(G$10-60000))</f>
        <v>1440</v>
      </c>
      <c r="H11" s="60" t="e">
        <f>FAT!#REF!</f>
        <v>#REF!</v>
      </c>
      <c r="I11" s="60" t="e">
        <f>FAT!#REF!</f>
        <v>#REF!</v>
      </c>
      <c r="J11" s="59">
        <f>SUMIFS(IMP!$I$30:$I$40,IMP!$E$30:$E$40,"IRPJ",IMP!$F$30:$F$40,0,IMP!$C$30:$C$40,"SERVIÇOS")*J$10+MAX(0,SUMIFS(IMP!$I$30:$I$40,IMP!$E$30:$E$40,"IRPJ",IMP!$F$30:$F$40,60000,IMP!$C$30:$C$40,"SERVIÇOS")*(J$10-60000))</f>
        <v>1680</v>
      </c>
      <c r="K11" s="60" t="e">
        <f>FAT!#REF!</f>
        <v>#REF!</v>
      </c>
      <c r="L11" s="60" t="e">
        <f>FAT!#REF!</f>
        <v>#REF!</v>
      </c>
      <c r="M11" s="59">
        <f>SUMIFS(IMP!$I$30:$I$40,IMP!$E$30:$E$40,"IRPJ",IMP!$F$30:$F$40,0,IMP!$C$30:$C$40,"SERVIÇOS")*M$10+MAX(0,SUMIFS(IMP!$I$30:$I$40,IMP!$E$30:$E$40,"IRPJ",IMP!$F$30:$F$40,60000,IMP!$C$30:$C$40,"SERVIÇOS")*(M$10-60000))</f>
        <v>1440</v>
      </c>
      <c r="N11" s="60" t="e">
        <f>FAT!#REF!</f>
        <v>#REF!</v>
      </c>
      <c r="O11" s="60" t="e">
        <f>FAT!#REF!</f>
        <v>#REF!</v>
      </c>
    </row>
    <row r="12" spans="1:16384" ht="30" customHeight="1" thickTop="1" thickBot="1">
      <c r="C12" s="26" t="s">
        <v>78</v>
      </c>
      <c r="D12" s="59">
        <f>SUMIFS(IMP!$H$30:$H$40,IMP!$E$30:$E$40,"CSLL",IMP!$C$30:$C$40,"SERVIÇOS")*D6</f>
        <v>20800</v>
      </c>
      <c r="E12" s="60" t="e">
        <f>SUMIFS(#REF!,#REF!,"Venda",#REF!,"Lucro Real",#REF!,$C12)*E$7</f>
        <v>#REF!</v>
      </c>
      <c r="F12" s="60" t="e">
        <f>SUMIFS(#REF!,#REF!,"Venda",#REF!,"Lucro Real",#REF!,$C12)*F$7</f>
        <v>#REF!</v>
      </c>
      <c r="G12" s="59">
        <f>SUMIFS(IMP!$H$30:$H$40,IMP!$E$30:$E$40,"CSLL",IMP!$C$30:$C$40,"SERVIÇOS")*G6</f>
        <v>19200</v>
      </c>
      <c r="H12" s="60" t="e">
        <f>SUMIFS(#REF!,#REF!,"Venda",#REF!,"Lucro Real",#REF!,$C12)*H$7</f>
        <v>#REF!</v>
      </c>
      <c r="I12" s="60" t="e">
        <f>SUMIFS(#REF!,#REF!,"Venda",#REF!,"Lucro Real",#REF!,$C12)*I$7</f>
        <v>#REF!</v>
      </c>
      <c r="J12" s="59">
        <f>SUMIFS(IMP!$H$30:$H$40,IMP!$E$30:$E$40,"CSLL",IMP!$C$30:$C$40,"SERVIÇOS")*J6</f>
        <v>22400</v>
      </c>
      <c r="K12" s="60" t="e">
        <f>SUMIFS(#REF!,#REF!,"Venda",#REF!,"Lucro Real",#REF!,$C12)*K$7</f>
        <v>#REF!</v>
      </c>
      <c r="L12" s="60" t="e">
        <f>SUMIFS(#REF!,#REF!,"Venda",#REF!,"Lucro Real",#REF!,$C12)*L$7</f>
        <v>#REF!</v>
      </c>
      <c r="M12" s="59">
        <f>SUMIFS(IMP!$H$30:$H$40,IMP!$E$30:$E$40,"CSLL",IMP!$C$30:$C$40,"SERVIÇOS")*M6</f>
        <v>19200</v>
      </c>
      <c r="N12" s="60" t="e">
        <f>SUMIFS(#REF!,#REF!,"Venda",#REF!,"Lucro Real",#REF!,$C12)*N$7</f>
        <v>#REF!</v>
      </c>
      <c r="O12" s="60" t="e">
        <f>SUMIFS(#REF!,#REF!,"Venda",#REF!,"Lucro Real",#REF!,$C12)*O$7</f>
        <v>#REF!</v>
      </c>
    </row>
    <row r="13" spans="1:16384" ht="30" customHeight="1" thickTop="1" thickBot="1">
      <c r="C13" s="26" t="s">
        <v>49</v>
      </c>
      <c r="D13" s="59">
        <f>SUMIFS(IMP!$I$30:$I$40,IMP!$E$30:$E$40,"CSLL",IMP!$C$30:$C$40,"SERVIÇOS")*D12</f>
        <v>1872</v>
      </c>
      <c r="E13" s="60" t="e">
        <f>SUMIFS(#REF!,#REF!,"Indústria",#REF!,"Simples Nacional",#REF!,$C13,#REF!,"&lt;="&amp;E$7,#REF!,"&gt;="&amp;E$7)*(E$7-SUMIFS(#REF!,#REF!,"Indústria",#REF!,"Simples Nacional",#REF!,"IPI")*E$7)</f>
        <v>#REF!</v>
      </c>
      <c r="F13" s="60" t="e">
        <f>SUMIFS(#REF!,#REF!,"Indústria",#REF!,"Simples Nacional",#REF!,$C13,#REF!,"&lt;="&amp;F$7,#REF!,"&gt;="&amp;F$7)*(F$7-SUMIFS(#REF!,#REF!,"Indústria",#REF!,"Simples Nacional",#REF!,"IPI")*F$7)</f>
        <v>#REF!</v>
      </c>
      <c r="G13" s="59">
        <f>SUMIFS(IMP!$I$30:$I$40,IMP!$E$30:$E$40,"CSLL",IMP!$C$30:$C$40,"SERVIÇOS")*G12</f>
        <v>1728</v>
      </c>
      <c r="H13" s="60" t="e">
        <f>SUMIFS(#REF!,#REF!,"Indústria",#REF!,"Simples Nacional",#REF!,$C13,#REF!,"&lt;="&amp;H$7,#REF!,"&gt;="&amp;H$7)*(H$7-SUMIFS(#REF!,#REF!,"Indústria",#REF!,"Simples Nacional",#REF!,"IPI")*H$7)</f>
        <v>#REF!</v>
      </c>
      <c r="I13" s="60" t="e">
        <f>SUMIFS(#REF!,#REF!,"Indústria",#REF!,"Simples Nacional",#REF!,$C13,#REF!,"&lt;="&amp;I$7,#REF!,"&gt;="&amp;I$7)*(I$7-SUMIFS(#REF!,#REF!,"Indústria",#REF!,"Simples Nacional",#REF!,"IPI")*I$7)</f>
        <v>#REF!</v>
      </c>
      <c r="J13" s="59">
        <f>SUMIFS(IMP!$I$30:$I$40,IMP!$E$30:$E$40,"CSLL",IMP!$C$30:$C$40,"SERVIÇOS")*J12</f>
        <v>2016</v>
      </c>
      <c r="K13" s="60" t="e">
        <f>SUMIFS(#REF!,#REF!,"Indústria",#REF!,"Simples Nacional",#REF!,$C13,#REF!,"&lt;="&amp;K$7,#REF!,"&gt;="&amp;K$7)*(K$7-SUMIFS(#REF!,#REF!,"Indústria",#REF!,"Simples Nacional",#REF!,"IPI")*K$7)</f>
        <v>#REF!</v>
      </c>
      <c r="L13" s="60" t="e">
        <f>SUMIFS(#REF!,#REF!,"Indústria",#REF!,"Simples Nacional",#REF!,$C13,#REF!,"&lt;="&amp;L$7,#REF!,"&gt;="&amp;L$7)*(L$7-SUMIFS(#REF!,#REF!,"Indústria",#REF!,"Simples Nacional",#REF!,"IPI")*L$7)</f>
        <v>#REF!</v>
      </c>
      <c r="M13" s="59">
        <f>SUMIFS(IMP!$I$30:$I$40,IMP!$E$30:$E$40,"CSLL",IMP!$C$30:$C$40,"SERVIÇOS")*M12</f>
        <v>1728</v>
      </c>
      <c r="N13" s="60" t="e">
        <f>SUMIFS(#REF!,#REF!,"Indústria",#REF!,"Simples Nacional",#REF!,$C13,#REF!,"&lt;="&amp;N$7,#REF!,"&gt;="&amp;N$7)*(N$7-SUMIFS(#REF!,#REF!,"Indústria",#REF!,"Simples Nacional",#REF!,"IPI")*N$7)</f>
        <v>#REF!</v>
      </c>
      <c r="O13" s="60" t="e">
        <f>SUMIFS(#REF!,#REF!,"Indústria",#REF!,"Simples Nacional",#REF!,$C13,#REF!,"&lt;="&amp;O$7,#REF!,"&gt;="&amp;O$7)*(O$7-SUMIFS(#REF!,#REF!,"Indústria",#REF!,"Simples Nacional",#REF!,"IPI")*O$7)</f>
        <v>#REF!</v>
      </c>
    </row>
    <row r="14" spans="1:16384" ht="7.5" customHeight="1" thickTop="1" thickBot="1">
      <c r="C14" s="38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384" ht="30" customHeight="1" thickTop="1" thickBot="1">
      <c r="C15" s="26" t="s">
        <v>15</v>
      </c>
      <c r="D15" s="64" t="s">
        <v>52</v>
      </c>
      <c r="E15" s="65"/>
      <c r="F15" s="66"/>
      <c r="G15" s="64" t="s">
        <v>53</v>
      </c>
      <c r="H15" s="65"/>
      <c r="I15" s="66"/>
      <c r="J15" s="64" t="s">
        <v>54</v>
      </c>
      <c r="K15" s="65"/>
      <c r="L15" s="66"/>
      <c r="M15" s="64" t="s">
        <v>55</v>
      </c>
      <c r="N15" s="65"/>
      <c r="O15" s="66"/>
    </row>
    <row r="16" spans="1:16384" ht="30" customHeight="1" thickTop="1" thickBot="1">
      <c r="C16" s="26" t="s">
        <v>50</v>
      </c>
      <c r="D16" s="61">
        <f>SUMIFS(IMP!$H$30:$H$40,IMP!$E$30:$E$40,"IRPJ",IMP!$F$30:$F$40,0,IMP!$C$30:$C$40,"INDÚSTRIA")*D7</f>
        <v>0.24</v>
      </c>
      <c r="E16" s="62"/>
      <c r="F16" s="63"/>
      <c r="G16" s="61">
        <f>SUMIFS(IMP!$H$30:$H$40,IMP!$E$30:$E$40,"IRPJ",IMP!$F$30:$F$40,0,IMP!$C$30:$C$40,"INDÚSTRIA")*G7</f>
        <v>0.24</v>
      </c>
      <c r="H16" s="62"/>
      <c r="I16" s="63"/>
      <c r="J16" s="61">
        <f>SUMIFS(IMP!$H$30:$H$40,IMP!$E$30:$E$40,"IRPJ",IMP!$F$30:$F$40,0,IMP!$C$30:$C$40,"INDÚSTRIA")*J7</f>
        <v>0.24</v>
      </c>
      <c r="K16" s="62"/>
      <c r="L16" s="63"/>
      <c r="M16" s="61">
        <f>SUMIFS(IMP!$H$30:$H$40,IMP!$E$30:$E$40,"IRPJ",IMP!$F$30:$F$40,0,IMP!$C$30:$C$40,"INDÚSTRIA")*M7</f>
        <v>0.24</v>
      </c>
      <c r="N16" s="62"/>
      <c r="O16" s="63"/>
    </row>
    <row r="17" spans="3:15" ht="30" customHeight="1" thickTop="1" thickBot="1">
      <c r="C17" s="26" t="s">
        <v>48</v>
      </c>
      <c r="D17" s="59">
        <f>SUMIFS(IMP!$I$30:$I$40,IMP!$E$30:$E$40,"IRPJ",IMP!$F$30:$F$40,0,IMP!$C$30:$C$40,"INDÚSTRIA")*D$16+MAX(0,SUMIFS(IMP!$I$30:$I$40,IMP!$E$30:$E$40,"IRPJ",IMP!$F$30:$F$40,60000,IMP!$C$30:$C$40,"INDÚSTRIA")*(D$16-60000))</f>
        <v>3.5999999999999997E-2</v>
      </c>
      <c r="E17" s="60">
        <f>FAT!E11</f>
        <v>0</v>
      </c>
      <c r="F17" s="60">
        <f>FAT!F11</f>
        <v>0</v>
      </c>
      <c r="G17" s="59">
        <f>SUMIFS(IMP!$I$30:$I$40,IMP!$E$30:$E$40,"IRPJ",IMP!$F$30:$F$40,0,IMP!$C$30:$C$40,"INDÚSTRIA")*G$16+MAX(0,SUMIFS(IMP!$I$30:$I$40,IMP!$E$30:$E$40,"IRPJ",IMP!$F$30:$F$40,60000,IMP!$C$30:$C$40,"INDÚSTRIA")*(G$16-60000))</f>
        <v>3.5999999999999997E-2</v>
      </c>
      <c r="H17" s="60">
        <f>FAT!H11</f>
        <v>0</v>
      </c>
      <c r="I17" s="60">
        <f>FAT!I11</f>
        <v>0</v>
      </c>
      <c r="J17" s="59">
        <f>SUMIFS(IMP!$I$30:$I$40,IMP!$E$30:$E$40,"IRPJ",IMP!$F$30:$F$40,0,IMP!$C$30:$C$40,"INDÚSTRIA")*J$16+MAX(0,SUMIFS(IMP!$I$30:$I$40,IMP!$E$30:$E$40,"IRPJ",IMP!$F$30:$F$40,60000,IMP!$C$30:$C$40,"INDÚSTRIA")*(J$16-60000))</f>
        <v>3.5999999999999997E-2</v>
      </c>
      <c r="K17" s="60">
        <f>FAT!K11</f>
        <v>0</v>
      </c>
      <c r="L17" s="60">
        <f>FAT!L11</f>
        <v>0</v>
      </c>
      <c r="M17" s="59">
        <f>SUMIFS(IMP!$I$30:$I$40,IMP!$E$30:$E$40,"IRPJ",IMP!$F$30:$F$40,0,IMP!$C$30:$C$40,"INDÚSTRIA")*M$16+MAX(0,SUMIFS(IMP!$I$30:$I$40,IMP!$E$30:$E$40,"IRPJ",IMP!$F$30:$F$40,60000,IMP!$C$30:$C$40,"INDÚSTRIA")*(M$16-60000))</f>
        <v>3.5999999999999997E-2</v>
      </c>
      <c r="N17" s="60">
        <f>FAT!N11</f>
        <v>0</v>
      </c>
      <c r="O17" s="60">
        <f>FAT!O11</f>
        <v>0</v>
      </c>
    </row>
    <row r="18" spans="3:15" ht="30" customHeight="1" thickTop="1" thickBot="1">
      <c r="C18" s="26" t="s">
        <v>51</v>
      </c>
      <c r="D18" s="59">
        <f>SUMIFS(IMP!$H$30:$H$40,IMP!$E$30:$E$40,"CSLL",IMP!$C$30:$C$40,"INDÚSTRIA")*D7</f>
        <v>0.36</v>
      </c>
      <c r="E18" s="60" t="e">
        <f>SUMIFS(#REF!,#REF!,"Venda",#REF!,"Lucro Real",#REF!,$C18)*E$7</f>
        <v>#REF!</v>
      </c>
      <c r="F18" s="60" t="e">
        <f>SUMIFS(#REF!,#REF!,"Venda",#REF!,"Lucro Real",#REF!,$C18)*F$7</f>
        <v>#REF!</v>
      </c>
      <c r="G18" s="59">
        <f>SUMIFS(IMP!$H$30:$H$40,IMP!$E$30:$E$40,"CSLL",IMP!$C$30:$C$40,"INDÚSTRIA")*G7</f>
        <v>0.36</v>
      </c>
      <c r="H18" s="60" t="e">
        <f>SUMIFS(#REF!,#REF!,"Venda",#REF!,"Lucro Real",#REF!,$C18)*H$7</f>
        <v>#REF!</v>
      </c>
      <c r="I18" s="60" t="e">
        <f>SUMIFS(#REF!,#REF!,"Venda",#REF!,"Lucro Real",#REF!,$C18)*I$7</f>
        <v>#REF!</v>
      </c>
      <c r="J18" s="59">
        <f>SUMIFS(IMP!$H$30:$H$40,IMP!$E$30:$E$40,"CSLL",IMP!$C$30:$C$40,"INDÚSTRIA")*J7</f>
        <v>0.36</v>
      </c>
      <c r="K18" s="60" t="e">
        <f>SUMIFS(#REF!,#REF!,"Venda",#REF!,"Lucro Real",#REF!,$C18)*K$7</f>
        <v>#REF!</v>
      </c>
      <c r="L18" s="60" t="e">
        <f>SUMIFS(#REF!,#REF!,"Venda",#REF!,"Lucro Real",#REF!,$C18)*L$7</f>
        <v>#REF!</v>
      </c>
      <c r="M18" s="59">
        <f>SUMIFS(IMP!$H$30:$H$40,IMP!$E$30:$E$40,"CSLL",IMP!$C$30:$C$40,"INDÚSTRIA")*M7</f>
        <v>0.36</v>
      </c>
      <c r="N18" s="60" t="e">
        <f>SUMIFS(#REF!,#REF!,"Venda",#REF!,"Lucro Real",#REF!,$C18)*N$7</f>
        <v>#REF!</v>
      </c>
      <c r="O18" s="60" t="e">
        <f>SUMIFS(#REF!,#REF!,"Venda",#REF!,"Lucro Real",#REF!,$C18)*O$7</f>
        <v>#REF!</v>
      </c>
    </row>
    <row r="19" spans="3:15" ht="30" customHeight="1" thickTop="1" thickBot="1">
      <c r="C19" s="26" t="s">
        <v>49</v>
      </c>
      <c r="D19" s="59">
        <f>SUMIFS(IMP!$I$30:$I$40,IMP!$E$30:$E$40,"CSLL",IMP!$C$30:$C$40,"INDÚSTRIA")*D18</f>
        <v>3.2399999999999998E-2</v>
      </c>
      <c r="E19" s="60" t="e">
        <f>SUMIFS(#REF!,#REF!,"Indústria",#REF!,"Simples Nacional",#REF!,$C19,#REF!,"&lt;="&amp;E$7,#REF!,"&gt;="&amp;E$7)*(E$7-SUMIFS(#REF!,#REF!,"Indústria",#REF!,"Simples Nacional",#REF!,"IPI")*E$7)</f>
        <v>#REF!</v>
      </c>
      <c r="F19" s="60" t="e">
        <f>SUMIFS(#REF!,#REF!,"Indústria",#REF!,"Simples Nacional",#REF!,$C19,#REF!,"&lt;="&amp;F$7,#REF!,"&gt;="&amp;F$7)*(F$7-SUMIFS(#REF!,#REF!,"Indústria",#REF!,"Simples Nacional",#REF!,"IPI")*F$7)</f>
        <v>#REF!</v>
      </c>
      <c r="G19" s="59">
        <f>SUMIFS(IMP!$I$30:$I$40,IMP!$E$30:$E$40,"CSLL",IMP!$C$30:$C$40,"INDÚSTRIA")*G18</f>
        <v>3.2399999999999998E-2</v>
      </c>
      <c r="H19" s="60" t="e">
        <f>SUMIFS(#REF!,#REF!,"Indústria",#REF!,"Simples Nacional",#REF!,$C19,#REF!,"&lt;="&amp;H$7,#REF!,"&gt;="&amp;H$7)*(H$7-SUMIFS(#REF!,#REF!,"Indústria",#REF!,"Simples Nacional",#REF!,"IPI")*H$7)</f>
        <v>#REF!</v>
      </c>
      <c r="I19" s="60" t="e">
        <f>SUMIFS(#REF!,#REF!,"Indústria",#REF!,"Simples Nacional",#REF!,$C19,#REF!,"&lt;="&amp;I$7,#REF!,"&gt;="&amp;I$7)*(I$7-SUMIFS(#REF!,#REF!,"Indústria",#REF!,"Simples Nacional",#REF!,"IPI")*I$7)</f>
        <v>#REF!</v>
      </c>
      <c r="J19" s="59">
        <f>SUMIFS(IMP!$I$30:$I$40,IMP!$E$30:$E$40,"CSLL",IMP!$C$30:$C$40,"INDÚSTRIA")*J18</f>
        <v>3.2399999999999998E-2</v>
      </c>
      <c r="K19" s="60" t="e">
        <f>SUMIFS(#REF!,#REF!,"Indústria",#REF!,"Simples Nacional",#REF!,$C19,#REF!,"&lt;="&amp;K$7,#REF!,"&gt;="&amp;K$7)*(K$7-SUMIFS(#REF!,#REF!,"Indústria",#REF!,"Simples Nacional",#REF!,"IPI")*K$7)</f>
        <v>#REF!</v>
      </c>
      <c r="L19" s="60" t="e">
        <f>SUMIFS(#REF!,#REF!,"Indústria",#REF!,"Simples Nacional",#REF!,$C19,#REF!,"&lt;="&amp;L$7,#REF!,"&gt;="&amp;L$7)*(L$7-SUMIFS(#REF!,#REF!,"Indústria",#REF!,"Simples Nacional",#REF!,"IPI")*L$7)</f>
        <v>#REF!</v>
      </c>
      <c r="M19" s="59">
        <f>SUMIFS(IMP!$I$30:$I$40,IMP!$E$30:$E$40,"CSLL",IMP!$C$30:$C$40,"INDÚSTRIA")*M18</f>
        <v>3.2399999999999998E-2</v>
      </c>
      <c r="N19" s="60" t="e">
        <f>SUMIFS(#REF!,#REF!,"Indústria",#REF!,"Simples Nacional",#REF!,$C19,#REF!,"&lt;="&amp;N$7,#REF!,"&gt;="&amp;N$7)*(N$7-SUMIFS(#REF!,#REF!,"Indústria",#REF!,"Simples Nacional",#REF!,"IPI")*N$7)</f>
        <v>#REF!</v>
      </c>
      <c r="O19" s="60" t="e">
        <f>SUMIFS(#REF!,#REF!,"Indústria",#REF!,"Simples Nacional",#REF!,$C19,#REF!,"&lt;="&amp;O$7,#REF!,"&gt;="&amp;O$7)*(O$7-SUMIFS(#REF!,#REF!,"Indústria",#REF!,"Simples Nacional",#REF!,"IPI")*O$7)</f>
        <v>#REF!</v>
      </c>
    </row>
    <row r="20" spans="3:15" ht="7.5" customHeight="1" thickTop="1" thickBot="1"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3:15" ht="30" customHeight="1" thickTop="1" thickBot="1">
      <c r="C21" s="26"/>
      <c r="D21" s="26" t="s">
        <v>20</v>
      </c>
      <c r="E21" s="26" t="s">
        <v>21</v>
      </c>
      <c r="F21" s="26" t="s">
        <v>22</v>
      </c>
      <c r="G21" s="26" t="s">
        <v>23</v>
      </c>
      <c r="H21" s="26" t="s">
        <v>24</v>
      </c>
      <c r="I21" s="26" t="s">
        <v>25</v>
      </c>
      <c r="J21" s="26" t="s">
        <v>26</v>
      </c>
      <c r="K21" s="26" t="s">
        <v>27</v>
      </c>
      <c r="L21" s="26" t="s">
        <v>28</v>
      </c>
      <c r="M21" s="26" t="s">
        <v>29</v>
      </c>
      <c r="N21" s="26" t="s">
        <v>30</v>
      </c>
      <c r="O21" s="26" t="s">
        <v>31</v>
      </c>
    </row>
    <row r="22" spans="3:15" ht="30" customHeight="1" thickTop="1" thickBot="1">
      <c r="C22" s="26" t="s">
        <v>48</v>
      </c>
      <c r="D22" s="37">
        <f>(D11+D17)/3</f>
        <v>520.01200000000006</v>
      </c>
      <c r="E22" s="37">
        <f>(D11+D17)/3</f>
        <v>520.01200000000006</v>
      </c>
      <c r="F22" s="37">
        <f>(D11+D17)/3</f>
        <v>520.01200000000006</v>
      </c>
      <c r="G22" s="37">
        <f>(G11+G17)/3</f>
        <v>480.012</v>
      </c>
      <c r="H22" s="37">
        <f>(G11+G17)/3</f>
        <v>480.012</v>
      </c>
      <c r="I22" s="37">
        <f>(G11+G17)/3</f>
        <v>480.012</v>
      </c>
      <c r="J22" s="37">
        <f>(J11+J17)/3</f>
        <v>560.01200000000006</v>
      </c>
      <c r="K22" s="37">
        <f>(J11+J17)/3</f>
        <v>560.01200000000006</v>
      </c>
      <c r="L22" s="37">
        <f>(J11+J17)/3</f>
        <v>560.01200000000006</v>
      </c>
      <c r="M22" s="37">
        <f>(M11+M17)/3</f>
        <v>480.012</v>
      </c>
      <c r="N22" s="37">
        <f>(M11+M17)/3</f>
        <v>480.012</v>
      </c>
      <c r="O22" s="37">
        <f>(M11+M17)/3</f>
        <v>480.012</v>
      </c>
    </row>
    <row r="23" spans="3:15" ht="30" customHeight="1" thickTop="1" thickBot="1">
      <c r="C23" s="26" t="s">
        <v>49</v>
      </c>
      <c r="D23" s="37">
        <f>(D13+D19)/3</f>
        <v>624.01080000000002</v>
      </c>
      <c r="E23" s="37">
        <f>(D13+D19)/3</f>
        <v>624.01080000000002</v>
      </c>
      <c r="F23" s="37">
        <f>(D13+D19)/3</f>
        <v>624.01080000000002</v>
      </c>
      <c r="G23" s="37">
        <f t="shared" ref="G23" si="0">(G13+G19)/3</f>
        <v>576.01080000000002</v>
      </c>
      <c r="H23" s="37">
        <f t="shared" ref="H23" si="1">(G13+G19)/3</f>
        <v>576.01080000000002</v>
      </c>
      <c r="I23" s="37">
        <f t="shared" ref="I23" si="2">(G13+G19)/3</f>
        <v>576.01080000000002</v>
      </c>
      <c r="J23" s="37">
        <f t="shared" ref="J23" si="3">(J13+J19)/3</f>
        <v>672.01080000000002</v>
      </c>
      <c r="K23" s="37">
        <f t="shared" ref="K23" si="4">(J13+J19)/3</f>
        <v>672.01080000000002</v>
      </c>
      <c r="L23" s="37">
        <f t="shared" ref="L23" si="5">(J13+J19)/3</f>
        <v>672.01080000000002</v>
      </c>
      <c r="M23" s="37">
        <f t="shared" ref="M23" si="6">(M13+M19)/3</f>
        <v>576.01080000000002</v>
      </c>
      <c r="N23" s="37">
        <f t="shared" ref="N23" si="7">(M13+M19)/3</f>
        <v>576.01080000000002</v>
      </c>
      <c r="O23" s="37">
        <f t="shared" ref="O23" si="8">(M13+M19)/3</f>
        <v>576.01080000000002</v>
      </c>
    </row>
    <row r="24" spans="3:15" ht="30" customHeight="1" thickTop="1" thickBot="1">
      <c r="C24" s="26" t="s">
        <v>56</v>
      </c>
      <c r="D24" s="37">
        <f>SUMIFS(IMP!$I$30:$I$40,IMP!$E$30:$E$40,"ICMS")*FAT!D7</f>
        <v>0.05</v>
      </c>
      <c r="E24" s="37">
        <f>SUMIFS(IMP!$I$30:$I$40,IMP!$E$30:$E$40,"ICMS")*FAT!E7</f>
        <v>0.05</v>
      </c>
      <c r="F24" s="37">
        <f>SUMIFS(IMP!$I$30:$I$40,IMP!$E$30:$E$40,"ICMS")*FAT!F7</f>
        <v>0.05</v>
      </c>
      <c r="G24" s="37">
        <f>SUMIFS(IMP!$I$30:$I$40,IMP!$E$30:$E$40,"ICMS")*FAT!G7</f>
        <v>0.05</v>
      </c>
      <c r="H24" s="37">
        <f>SUMIFS(IMP!$I$30:$I$40,IMP!$E$30:$E$40,"ICMS")*FAT!H7</f>
        <v>0.05</v>
      </c>
      <c r="I24" s="37">
        <f>SUMIFS(IMP!$I$30:$I$40,IMP!$E$30:$E$40,"ICMS")*FAT!I7</f>
        <v>0.05</v>
      </c>
      <c r="J24" s="37">
        <f>SUMIFS(IMP!$I$30:$I$40,IMP!$E$30:$E$40,"ICMS")*FAT!J7</f>
        <v>0.05</v>
      </c>
      <c r="K24" s="37">
        <f>SUMIFS(IMP!$I$30:$I$40,IMP!$E$30:$E$40,"ICMS")*FAT!K7</f>
        <v>0.05</v>
      </c>
      <c r="L24" s="37">
        <f>SUMIFS(IMP!$I$30:$I$40,IMP!$E$30:$E$40,"ICMS")*FAT!L7</f>
        <v>0.05</v>
      </c>
      <c r="M24" s="37">
        <f>SUMIFS(IMP!$I$30:$I$40,IMP!$E$30:$E$40,"ICMS")*FAT!M7</f>
        <v>0.05</v>
      </c>
      <c r="N24" s="37">
        <f>SUMIFS(IMP!$I$30:$I$40,IMP!$E$30:$E$40,"ICMS")*FAT!N7</f>
        <v>0.05</v>
      </c>
      <c r="O24" s="37">
        <f>SUMIFS(IMP!$I$30:$I$40,IMP!$E$30:$E$40,"ICMS")*FAT!O7</f>
        <v>0.05</v>
      </c>
    </row>
    <row r="25" spans="3:15" ht="30" customHeight="1" thickTop="1" thickBot="1">
      <c r="C25" s="26" t="s">
        <v>57</v>
      </c>
      <c r="D25" s="37">
        <f>SUMIFS(IMP!$I$30:$I$40,IMP!$E$30:$E$40,"PIS")*FAT!D7</f>
        <v>6.4999999999999997E-3</v>
      </c>
      <c r="E25" s="37">
        <f>SUMIFS(IMP!$I$30:$I$40,IMP!$E$30:$E$40,"PIS")*FAT!E7</f>
        <v>6.4999999999999997E-3</v>
      </c>
      <c r="F25" s="37">
        <f>SUMIFS(IMP!$I$30:$I$40,IMP!$E$30:$E$40,"PIS")*FAT!F7</f>
        <v>6.4999999999999997E-3</v>
      </c>
      <c r="G25" s="37">
        <f>SUMIFS(IMP!$I$30:$I$40,IMP!$E$30:$E$40,"PIS")*FAT!G7</f>
        <v>6.4999999999999997E-3</v>
      </c>
      <c r="H25" s="37">
        <f>SUMIFS(IMP!$I$30:$I$40,IMP!$E$30:$E$40,"PIS")*FAT!H7</f>
        <v>6.4999999999999997E-3</v>
      </c>
      <c r="I25" s="37">
        <f>SUMIFS(IMP!$I$30:$I$40,IMP!$E$30:$E$40,"PIS")*FAT!I7</f>
        <v>6.4999999999999997E-3</v>
      </c>
      <c r="J25" s="37">
        <f>SUMIFS(IMP!$I$30:$I$40,IMP!$E$30:$E$40,"PIS")*FAT!J7</f>
        <v>6.4999999999999997E-3</v>
      </c>
      <c r="K25" s="37">
        <f>SUMIFS(IMP!$I$30:$I$40,IMP!$E$30:$E$40,"PIS")*FAT!K7</f>
        <v>6.4999999999999997E-3</v>
      </c>
      <c r="L25" s="37">
        <f>SUMIFS(IMP!$I$30:$I$40,IMP!$E$30:$E$40,"PIS")*FAT!L7</f>
        <v>6.4999999999999997E-3</v>
      </c>
      <c r="M25" s="37">
        <f>SUMIFS(IMP!$I$30:$I$40,IMP!$E$30:$E$40,"PIS")*FAT!M7</f>
        <v>6.4999999999999997E-3</v>
      </c>
      <c r="N25" s="37">
        <f>SUMIFS(IMP!$I$30:$I$40,IMP!$E$30:$E$40,"PIS")*FAT!N7</f>
        <v>6.4999999999999997E-3</v>
      </c>
      <c r="O25" s="37">
        <f>SUMIFS(IMP!$I$30:$I$40,IMP!$E$30:$E$40,"PIS")*FAT!O7</f>
        <v>6.4999999999999997E-3</v>
      </c>
    </row>
    <row r="26" spans="3:15" ht="30" customHeight="1" thickTop="1" thickBot="1">
      <c r="C26" s="26" t="s">
        <v>58</v>
      </c>
      <c r="D26" s="37">
        <f>SUMIFS(IMP!$I$30:$I$40,IMP!$E$30:$E$40,"COFINS")*FAT!D7</f>
        <v>0.03</v>
      </c>
      <c r="E26" s="37">
        <f>SUMIFS(IMP!$I$30:$I$40,IMP!$E$30:$E$40,"COFINS")*FAT!E7</f>
        <v>0.03</v>
      </c>
      <c r="F26" s="37">
        <f>SUMIFS(IMP!$I$30:$I$40,IMP!$E$30:$E$40,"COFINS")*FAT!F7</f>
        <v>0.03</v>
      </c>
      <c r="G26" s="37">
        <f>SUMIFS(IMP!$I$30:$I$40,IMP!$E$30:$E$40,"COFINS")*FAT!G7</f>
        <v>0.03</v>
      </c>
      <c r="H26" s="37">
        <f>SUMIFS(IMP!$I$30:$I$40,IMP!$E$30:$E$40,"COFINS")*FAT!H7</f>
        <v>0.03</v>
      </c>
      <c r="I26" s="37">
        <f>SUMIFS(IMP!$I$30:$I$40,IMP!$E$30:$E$40,"COFINS")*FAT!I7</f>
        <v>0.03</v>
      </c>
      <c r="J26" s="37">
        <f>SUMIFS(IMP!$I$30:$I$40,IMP!$E$30:$E$40,"COFINS")*FAT!J7</f>
        <v>0.03</v>
      </c>
      <c r="K26" s="37">
        <f>SUMIFS(IMP!$I$30:$I$40,IMP!$E$30:$E$40,"COFINS")*FAT!K7</f>
        <v>0.03</v>
      </c>
      <c r="L26" s="37">
        <f>SUMIFS(IMP!$I$30:$I$40,IMP!$E$30:$E$40,"COFINS")*FAT!L7</f>
        <v>0.03</v>
      </c>
      <c r="M26" s="37">
        <f>SUMIFS(IMP!$I$30:$I$40,IMP!$E$30:$E$40,"COFINS")*FAT!M7</f>
        <v>0.03</v>
      </c>
      <c r="N26" s="37">
        <f>SUMIFS(IMP!$I$30:$I$40,IMP!$E$30:$E$40,"COFINS")*FAT!N7</f>
        <v>0.03</v>
      </c>
      <c r="O26" s="37">
        <f>SUMIFS(IMP!$I$30:$I$40,IMP!$E$30:$E$40,"COFINS")*FAT!O7</f>
        <v>0.03</v>
      </c>
    </row>
    <row r="27" spans="3:15" ht="30" customHeight="1" thickTop="1" thickBot="1">
      <c r="C27" s="26" t="s">
        <v>59</v>
      </c>
      <c r="D27" s="37">
        <f>SUMIFS(IMP!$I$30:$I$40,IMP!$E$30:$E$40,"ISS")*FAT!D7</f>
        <v>0.05</v>
      </c>
      <c r="E27" s="37">
        <f>SUMIFS(IMP!$I$30:$I$40,IMP!$E$30:$E$40,"ISS")*FAT!E7</f>
        <v>0.05</v>
      </c>
      <c r="F27" s="37">
        <f>SUMIFS(IMP!$I$30:$I$40,IMP!$E$30:$E$40,"ISS")*FAT!F7</f>
        <v>0.05</v>
      </c>
      <c r="G27" s="37">
        <f>SUMIFS(IMP!$I$30:$I$40,IMP!$E$30:$E$40,"ISS")*FAT!G7</f>
        <v>0.05</v>
      </c>
      <c r="H27" s="37">
        <f>SUMIFS(IMP!$I$30:$I$40,IMP!$E$30:$E$40,"ISS")*FAT!H7</f>
        <v>0.05</v>
      </c>
      <c r="I27" s="37">
        <f>SUMIFS(IMP!$I$30:$I$40,IMP!$E$30:$E$40,"ISS")*FAT!I7</f>
        <v>0.05</v>
      </c>
      <c r="J27" s="37">
        <f>SUMIFS(IMP!$I$30:$I$40,IMP!$E$30:$E$40,"ISS")*FAT!J7</f>
        <v>0.05</v>
      </c>
      <c r="K27" s="37">
        <f>SUMIFS(IMP!$I$30:$I$40,IMP!$E$30:$E$40,"ISS")*FAT!K7</f>
        <v>0.05</v>
      </c>
      <c r="L27" s="37">
        <f>SUMIFS(IMP!$I$30:$I$40,IMP!$E$30:$E$40,"ISS")*FAT!L7</f>
        <v>0.05</v>
      </c>
      <c r="M27" s="37">
        <f>SUMIFS(IMP!$I$30:$I$40,IMP!$E$30:$E$40,"ISS")*FAT!M7</f>
        <v>0.05</v>
      </c>
      <c r="N27" s="37">
        <f>SUMIFS(IMP!$I$30:$I$40,IMP!$E$30:$E$40,"ISS")*FAT!N7</f>
        <v>0.05</v>
      </c>
      <c r="O27" s="37">
        <f>SUMIFS(IMP!$I$30:$I$40,IMP!$E$30:$E$40,"ISS")*FAT!O7</f>
        <v>0.05</v>
      </c>
    </row>
    <row r="28" spans="3:15" ht="30" customHeight="1" thickTop="1" thickBot="1">
      <c r="C28" s="43" t="s">
        <v>46</v>
      </c>
      <c r="D28" s="37">
        <f>SUM(D22:D27)</f>
        <v>1144.1593</v>
      </c>
      <c r="E28" s="37">
        <f t="shared" ref="E28:O28" si="9">SUM(E22:E27)</f>
        <v>1144.1593</v>
      </c>
      <c r="F28" s="37">
        <f t="shared" si="9"/>
        <v>1144.1593</v>
      </c>
      <c r="G28" s="37">
        <f t="shared" si="9"/>
        <v>1056.1592999999998</v>
      </c>
      <c r="H28" s="37">
        <f t="shared" si="9"/>
        <v>1056.1592999999998</v>
      </c>
      <c r="I28" s="37">
        <f t="shared" si="9"/>
        <v>1056.1592999999998</v>
      </c>
      <c r="J28" s="37">
        <f t="shared" si="9"/>
        <v>1232.1593</v>
      </c>
      <c r="K28" s="37">
        <f t="shared" si="9"/>
        <v>1232.1593</v>
      </c>
      <c r="L28" s="37">
        <f t="shared" si="9"/>
        <v>1232.1593</v>
      </c>
      <c r="M28" s="37">
        <f t="shared" si="9"/>
        <v>1056.1592999999998</v>
      </c>
      <c r="N28" s="37">
        <f t="shared" si="9"/>
        <v>1056.1592999999998</v>
      </c>
      <c r="O28" s="37">
        <f t="shared" si="9"/>
        <v>1056.1592999999998</v>
      </c>
    </row>
    <row r="29" spans="3:15" ht="30" customHeight="1" thickTop="1">
      <c r="C29"/>
    </row>
    <row r="30" spans="3:15" ht="30" customHeight="1">
      <c r="C30"/>
    </row>
    <row r="31" spans="3:15" ht="30" customHeight="1">
      <c r="C31"/>
    </row>
    <row r="32" spans="3:15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  <row r="94" spans="3:3" ht="30" customHeight="1">
      <c r="C94"/>
    </row>
    <row r="95" spans="3:3" ht="30" customHeight="1">
      <c r="C95"/>
    </row>
    <row r="96" spans="3:3" ht="30" customHeight="1">
      <c r="C96"/>
    </row>
    <row r="97" spans="3:3" ht="30" customHeight="1">
      <c r="C97"/>
    </row>
    <row r="98" spans="3:3" ht="30" customHeight="1">
      <c r="C98"/>
    </row>
    <row r="99" spans="3:3" ht="30" customHeight="1">
      <c r="C99"/>
    </row>
    <row r="100" spans="3:3" ht="30" customHeight="1">
      <c r="C100"/>
    </row>
    <row r="101" spans="3:3" ht="30" customHeight="1">
      <c r="C101"/>
    </row>
    <row r="102" spans="3:3" ht="30" customHeight="1">
      <c r="C102"/>
    </row>
    <row r="103" spans="3:3" ht="30" customHeight="1">
      <c r="C103"/>
    </row>
    <row r="104" spans="3:3" ht="30" customHeight="1">
      <c r="C104"/>
    </row>
    <row r="105" spans="3:3" ht="30" customHeight="1">
      <c r="C105"/>
    </row>
    <row r="106" spans="3:3" ht="30" customHeight="1">
      <c r="C106"/>
    </row>
    <row r="107" spans="3:3" ht="30" customHeight="1">
      <c r="C107"/>
    </row>
    <row r="108" spans="3:3" ht="30" customHeight="1">
      <c r="C108"/>
    </row>
    <row r="109" spans="3:3" ht="30" customHeight="1">
      <c r="C109"/>
    </row>
    <row r="110" spans="3:3" ht="30" customHeight="1">
      <c r="C110"/>
    </row>
    <row r="111" spans="3:3" ht="30" customHeight="1">
      <c r="C111"/>
    </row>
    <row r="112" spans="3:3" ht="30" customHeight="1">
      <c r="C112"/>
    </row>
    <row r="113" spans="3:3" ht="30" customHeight="1">
      <c r="C113"/>
    </row>
    <row r="114" spans="3:3" ht="30" customHeight="1">
      <c r="C114"/>
    </row>
    <row r="115" spans="3:3" ht="30" customHeight="1">
      <c r="C115"/>
    </row>
    <row r="116" spans="3:3" ht="30" customHeight="1">
      <c r="C116"/>
    </row>
    <row r="117" spans="3:3" ht="30" customHeight="1">
      <c r="C117"/>
    </row>
    <row r="118" spans="3:3" ht="30" customHeight="1">
      <c r="C118"/>
    </row>
    <row r="119" spans="3:3" ht="30" customHeight="1">
      <c r="C119"/>
    </row>
    <row r="120" spans="3:3" ht="30" customHeight="1">
      <c r="C120"/>
    </row>
    <row r="121" spans="3:3" ht="30" customHeight="1">
      <c r="C121"/>
    </row>
    <row r="122" spans="3:3" ht="30" customHeight="1">
      <c r="C122"/>
    </row>
    <row r="123" spans="3:3" ht="30" customHeight="1">
      <c r="C123"/>
    </row>
    <row r="124" spans="3:3" ht="30" customHeight="1">
      <c r="C124"/>
    </row>
    <row r="125" spans="3:3" ht="30" customHeight="1">
      <c r="C125"/>
    </row>
    <row r="126" spans="3:3" ht="30" customHeight="1">
      <c r="C126"/>
    </row>
    <row r="127" spans="3:3" ht="30" customHeight="1">
      <c r="C127"/>
    </row>
    <row r="128" spans="3:3" ht="30" customHeight="1">
      <c r="C128"/>
    </row>
    <row r="129" spans="3:3" ht="30" customHeight="1">
      <c r="C129"/>
    </row>
    <row r="130" spans="3:3" ht="30" customHeight="1">
      <c r="C130"/>
    </row>
    <row r="131" spans="3:3" ht="30" customHeight="1">
      <c r="C131"/>
    </row>
    <row r="132" spans="3:3" ht="30" customHeight="1">
      <c r="C132"/>
    </row>
    <row r="133" spans="3:3" ht="30" customHeight="1">
      <c r="C133"/>
    </row>
    <row r="134" spans="3:3" ht="30" customHeight="1">
      <c r="C134"/>
    </row>
    <row r="135" spans="3:3" ht="30" customHeight="1">
      <c r="C135"/>
    </row>
    <row r="136" spans="3:3" ht="30" customHeight="1">
      <c r="C136"/>
    </row>
    <row r="137" spans="3:3" ht="30" customHeight="1">
      <c r="C137"/>
    </row>
    <row r="138" spans="3:3" ht="30" customHeight="1">
      <c r="C138"/>
    </row>
    <row r="139" spans="3:3" ht="30" customHeight="1">
      <c r="C139"/>
    </row>
    <row r="140" spans="3:3" ht="30" customHeight="1">
      <c r="C140"/>
    </row>
    <row r="141" spans="3:3" ht="30" customHeight="1">
      <c r="C141"/>
    </row>
    <row r="142" spans="3:3" ht="30" customHeight="1">
      <c r="C142"/>
    </row>
    <row r="143" spans="3:3" ht="30" customHeight="1">
      <c r="C143"/>
    </row>
    <row r="144" spans="3:3" ht="30" customHeight="1">
      <c r="C144"/>
    </row>
    <row r="145" spans="3:3" ht="30" customHeight="1">
      <c r="C145"/>
    </row>
    <row r="146" spans="3:3" ht="30" customHeight="1">
      <c r="C146"/>
    </row>
    <row r="147" spans="3:3" ht="30" customHeight="1">
      <c r="C147"/>
    </row>
    <row r="148" spans="3:3" ht="30" customHeight="1">
      <c r="C148"/>
    </row>
    <row r="149" spans="3:3" ht="30" customHeight="1">
      <c r="C149"/>
    </row>
    <row r="150" spans="3:3" ht="30" customHeight="1">
      <c r="C150"/>
    </row>
    <row r="151" spans="3:3" ht="30" customHeight="1">
      <c r="C151"/>
    </row>
    <row r="152" spans="3:3" ht="30" customHeight="1">
      <c r="C152"/>
    </row>
    <row r="153" spans="3:3" ht="30" customHeight="1">
      <c r="C153"/>
    </row>
    <row r="154" spans="3:3" ht="30" customHeight="1">
      <c r="C154"/>
    </row>
    <row r="155" spans="3:3" ht="30" customHeight="1">
      <c r="C155"/>
    </row>
    <row r="156" spans="3:3" ht="30" customHeight="1">
      <c r="C156"/>
    </row>
    <row r="157" spans="3:3" ht="30" customHeight="1">
      <c r="C157"/>
    </row>
    <row r="158" spans="3:3" ht="30" customHeight="1">
      <c r="C158"/>
    </row>
    <row r="159" spans="3:3" ht="30" customHeight="1">
      <c r="C159"/>
    </row>
    <row r="160" spans="3:3" ht="30" customHeight="1">
      <c r="C160"/>
    </row>
    <row r="161" spans="3:3" ht="30" customHeight="1">
      <c r="C161"/>
    </row>
    <row r="162" spans="3:3" ht="30" customHeight="1">
      <c r="C162"/>
    </row>
    <row r="163" spans="3:3" ht="30" customHeight="1">
      <c r="C163"/>
    </row>
    <row r="164" spans="3:3" ht="30" customHeight="1">
      <c r="C164"/>
    </row>
    <row r="165" spans="3:3" ht="30" customHeight="1">
      <c r="C165"/>
    </row>
    <row r="166" spans="3:3" ht="30" customHeight="1">
      <c r="C166"/>
    </row>
    <row r="167" spans="3:3" ht="30" customHeight="1">
      <c r="C167"/>
    </row>
    <row r="168" spans="3:3" ht="30" customHeight="1">
      <c r="C168"/>
    </row>
    <row r="169" spans="3:3" ht="30" customHeight="1">
      <c r="C169"/>
    </row>
    <row r="170" spans="3:3" ht="30" customHeight="1">
      <c r="C170"/>
    </row>
    <row r="171" spans="3:3" ht="30" customHeight="1">
      <c r="C171"/>
    </row>
    <row r="172" spans="3:3" ht="30" customHeight="1">
      <c r="C172"/>
    </row>
    <row r="173" spans="3:3" ht="30" customHeight="1">
      <c r="C173"/>
    </row>
    <row r="174" spans="3:3" ht="30" customHeight="1">
      <c r="C174"/>
    </row>
    <row r="175" spans="3:3" ht="30" customHeight="1">
      <c r="C175"/>
    </row>
    <row r="176" spans="3:3" ht="30" customHeight="1">
      <c r="C176"/>
    </row>
    <row r="177" spans="3:3" ht="30" customHeight="1">
      <c r="C177"/>
    </row>
    <row r="178" spans="3:3" ht="30" customHeight="1">
      <c r="C178"/>
    </row>
    <row r="179" spans="3:3" ht="30" customHeight="1">
      <c r="C179"/>
    </row>
    <row r="180" spans="3:3" ht="30" customHeight="1">
      <c r="C180"/>
    </row>
    <row r="181" spans="3:3" ht="30" customHeight="1">
      <c r="C181"/>
    </row>
    <row r="182" spans="3:3" ht="30" customHeight="1">
      <c r="C182"/>
    </row>
    <row r="183" spans="3:3" ht="30" customHeight="1">
      <c r="C183"/>
    </row>
    <row r="184" spans="3:3" ht="30" customHeight="1">
      <c r="C184"/>
    </row>
    <row r="185" spans="3:3" ht="30" customHeight="1">
      <c r="C185"/>
    </row>
    <row r="186" spans="3:3" ht="30" customHeight="1">
      <c r="C186"/>
    </row>
    <row r="187" spans="3:3" ht="30" customHeight="1">
      <c r="C187"/>
    </row>
    <row r="188" spans="3:3" ht="30" customHeight="1">
      <c r="C188"/>
    </row>
    <row r="189" spans="3:3" ht="30" customHeight="1">
      <c r="C189"/>
    </row>
    <row r="190" spans="3:3" ht="30" customHeight="1">
      <c r="C190"/>
    </row>
    <row r="191" spans="3:3" ht="30" customHeight="1">
      <c r="C191"/>
    </row>
    <row r="192" spans="3:3" ht="30" customHeight="1">
      <c r="C192"/>
    </row>
    <row r="193" spans="3:3" ht="30" customHeight="1">
      <c r="C193"/>
    </row>
    <row r="194" spans="3:3" ht="30" customHeight="1">
      <c r="C194"/>
    </row>
    <row r="195" spans="3:3" ht="30" customHeight="1">
      <c r="C195"/>
    </row>
    <row r="196" spans="3:3" ht="30" customHeight="1">
      <c r="C196"/>
    </row>
    <row r="197" spans="3:3" ht="30" customHeight="1">
      <c r="C197"/>
    </row>
    <row r="198" spans="3:3" ht="30" customHeight="1">
      <c r="C198"/>
    </row>
    <row r="199" spans="3:3" ht="30" customHeight="1">
      <c r="C199"/>
    </row>
    <row r="200" spans="3:3" ht="30" customHeight="1">
      <c r="C200"/>
    </row>
    <row r="201" spans="3:3" ht="30" customHeight="1">
      <c r="C201"/>
    </row>
    <row r="202" spans="3:3" ht="30" customHeight="1">
      <c r="C202"/>
    </row>
    <row r="203" spans="3:3" ht="30" customHeight="1">
      <c r="C203"/>
    </row>
    <row r="204" spans="3:3" ht="30" customHeight="1">
      <c r="C204"/>
    </row>
    <row r="205" spans="3:3" ht="30" customHeight="1">
      <c r="C205"/>
    </row>
    <row r="206" spans="3:3" ht="30" customHeight="1">
      <c r="C206"/>
    </row>
    <row r="207" spans="3:3" ht="30" customHeight="1">
      <c r="C207"/>
    </row>
    <row r="208" spans="3:3" ht="30" customHeight="1">
      <c r="C208"/>
    </row>
    <row r="209" spans="3:3" ht="30" customHeight="1">
      <c r="C209"/>
    </row>
    <row r="210" spans="3:3" ht="30" customHeight="1">
      <c r="C210"/>
    </row>
    <row r="211" spans="3:3" ht="30" customHeight="1">
      <c r="C211"/>
    </row>
    <row r="212" spans="3:3" ht="30" customHeight="1">
      <c r="C212"/>
    </row>
    <row r="213" spans="3:3" ht="30" customHeight="1">
      <c r="C213"/>
    </row>
    <row r="214" spans="3:3" ht="30" customHeight="1">
      <c r="C214"/>
    </row>
    <row r="215" spans="3:3" ht="30" customHeight="1">
      <c r="C215"/>
    </row>
    <row r="216" spans="3:3" ht="30" customHeight="1">
      <c r="C216"/>
    </row>
    <row r="217" spans="3:3" ht="30" customHeight="1">
      <c r="C217"/>
    </row>
    <row r="218" spans="3:3" ht="30" customHeight="1"/>
    <row r="219" spans="3:3" ht="30" customHeight="1"/>
    <row r="220" spans="3:3" ht="30" customHeight="1"/>
    <row r="221" spans="3:3" ht="30" customHeight="1"/>
    <row r="222" spans="3:3" ht="30" customHeight="1"/>
    <row r="223" spans="3:3" ht="30" customHeight="1"/>
    <row r="224" spans="3:3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</sheetData>
  <sheetProtection selectLockedCells="1" selectUnlockedCells="1"/>
  <mergeCells count="52">
    <mergeCell ref="D15:F15"/>
    <mergeCell ref="G15:I15"/>
    <mergeCell ref="J15:L15"/>
    <mergeCell ref="M15:O15"/>
    <mergeCell ref="D5:F5"/>
    <mergeCell ref="G5:I5"/>
    <mergeCell ref="J5:L5"/>
    <mergeCell ref="M5:O5"/>
    <mergeCell ref="D9:F9"/>
    <mergeCell ref="G9:I9"/>
    <mergeCell ref="J9:L9"/>
    <mergeCell ref="M9:O9"/>
    <mergeCell ref="D12:F12"/>
    <mergeCell ref="G12:I12"/>
    <mergeCell ref="J12:L12"/>
    <mergeCell ref="M12:O12"/>
    <mergeCell ref="D18:F18"/>
    <mergeCell ref="G18:I18"/>
    <mergeCell ref="J18:L18"/>
    <mergeCell ref="M18:O18"/>
    <mergeCell ref="D19:F19"/>
    <mergeCell ref="G19:I19"/>
    <mergeCell ref="J19:L19"/>
    <mergeCell ref="M19:O19"/>
    <mergeCell ref="D16:F16"/>
    <mergeCell ref="G16:I16"/>
    <mergeCell ref="J16:L16"/>
    <mergeCell ref="M16:O16"/>
    <mergeCell ref="D17:F17"/>
    <mergeCell ref="G17:I17"/>
    <mergeCell ref="J17:L17"/>
    <mergeCell ref="M17:O17"/>
    <mergeCell ref="D13:F13"/>
    <mergeCell ref="G13:I13"/>
    <mergeCell ref="J13:L13"/>
    <mergeCell ref="M13:O13"/>
    <mergeCell ref="D10:F10"/>
    <mergeCell ref="G10:I10"/>
    <mergeCell ref="J10:L10"/>
    <mergeCell ref="M10:O10"/>
    <mergeCell ref="D11:F11"/>
    <mergeCell ref="G11:I11"/>
    <mergeCell ref="J11:L11"/>
    <mergeCell ref="M11:O11"/>
    <mergeCell ref="D6:F6"/>
    <mergeCell ref="G6:I6"/>
    <mergeCell ref="J6:L6"/>
    <mergeCell ref="M6:O6"/>
    <mergeCell ref="D7:F7"/>
    <mergeCell ref="G7:I7"/>
    <mergeCell ref="J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XFD589"/>
  <sheetViews>
    <sheetView showGridLines="0" zoomScale="63" zoomScaleNormal="63" zoomScalePageLayoutView="80" workbookViewId="0">
      <pane ySplit="2" topLeftCell="A4" activePane="bottomLeft" state="frozen"/>
      <selection activeCell="G3" sqref="G3"/>
      <selection pane="bottomLeft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21.69921875" style="6" customWidth="1"/>
    <col min="4" max="15" width="12.59765625" style="6" customWidth="1"/>
    <col min="16" max="23" width="10.69921875" style="6" customWidth="1"/>
    <col min="24" max="16384" width="11" style="6"/>
  </cols>
  <sheetData>
    <row r="1" spans="1:16384" s="25" customFormat="1" ht="39" customHeight="1">
      <c r="E1" s="7"/>
    </row>
    <row r="2" spans="1:16384" s="2" customFormat="1" ht="30" customHeight="1">
      <c r="C2" s="4"/>
      <c r="D2" s="5"/>
      <c r="E2" s="5"/>
      <c r="F2" s="5"/>
      <c r="G2" s="5"/>
      <c r="H2" s="5"/>
      <c r="I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5" customHeight="1" thickBot="1">
      <c r="C4" s="9"/>
      <c r="D4" s="10"/>
      <c r="E4" s="10"/>
      <c r="F4" s="10"/>
      <c r="G4" s="10"/>
      <c r="H4" s="10"/>
      <c r="I4" s="10"/>
    </row>
    <row r="5" spans="1:16384" ht="30" customHeight="1" thickTop="1" thickBot="1">
      <c r="C5" s="26" t="s">
        <v>61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</row>
    <row r="6" spans="1:16384" ht="30" customHeight="1" thickTop="1" thickBot="1">
      <c r="C6" s="26" t="s">
        <v>16</v>
      </c>
      <c r="D6" s="37">
        <f>SIM!D23</f>
        <v>2178.8685294117649</v>
      </c>
      <c r="E6" s="37">
        <f>SIM!E23</f>
        <v>2178.8685294117649</v>
      </c>
      <c r="F6" s="37">
        <f>SIM!F23</f>
        <v>2723.5744117647059</v>
      </c>
      <c r="G6" s="37">
        <f>SIM!G23</f>
        <v>1634.1626470588235</v>
      </c>
      <c r="H6" s="37">
        <f>SIM!H23</f>
        <v>1089.4567647058825</v>
      </c>
      <c r="I6" s="37">
        <f>SIM!I23</f>
        <v>3812.9861764705884</v>
      </c>
      <c r="J6" s="37">
        <f>SIM!J23</f>
        <v>1634.1626470588235</v>
      </c>
      <c r="K6" s="37">
        <f>SIM!K23</f>
        <v>2178.8685294117649</v>
      </c>
      <c r="L6" s="37">
        <f>SIM!L23</f>
        <v>3812.9861764705884</v>
      </c>
      <c r="M6" s="37">
        <f>SIM!M23</f>
        <v>2723.5744117647059</v>
      </c>
      <c r="N6" s="37">
        <f>SIM!N23</f>
        <v>2178.8685294117649</v>
      </c>
      <c r="O6" s="37">
        <f>SIM!O23</f>
        <v>1634.1626470588235</v>
      </c>
    </row>
    <row r="7" spans="1:16384" ht="30" customHeight="1" thickTop="1" thickBot="1">
      <c r="C7" s="26" t="s">
        <v>10</v>
      </c>
      <c r="D7" s="37">
        <f>PRE!D28</f>
        <v>1144.1593</v>
      </c>
      <c r="E7" s="37">
        <f>PRE!E28</f>
        <v>1144.1593</v>
      </c>
      <c r="F7" s="37">
        <f>PRE!F28</f>
        <v>1144.1593</v>
      </c>
      <c r="G7" s="37">
        <f>PRE!G28</f>
        <v>1056.1592999999998</v>
      </c>
      <c r="H7" s="37">
        <f>PRE!H28</f>
        <v>1056.1592999999998</v>
      </c>
      <c r="I7" s="37">
        <f>PRE!I28</f>
        <v>1056.1592999999998</v>
      </c>
      <c r="J7" s="37">
        <f>PRE!J28</f>
        <v>1232.1593</v>
      </c>
      <c r="K7" s="37">
        <f>PRE!K28</f>
        <v>1232.1593</v>
      </c>
      <c r="L7" s="37">
        <f>PRE!L28</f>
        <v>1232.1593</v>
      </c>
      <c r="M7" s="37">
        <f>PRE!M28</f>
        <v>1056.1592999999998</v>
      </c>
      <c r="N7" s="37">
        <f>PRE!N28</f>
        <v>1056.1592999999998</v>
      </c>
      <c r="O7" s="37">
        <f>PRE!O28</f>
        <v>1056.1592999999998</v>
      </c>
    </row>
    <row r="8" spans="1:16384" ht="30" customHeight="1" thickTop="1" thickBot="1">
      <c r="C8" s="26" t="s">
        <v>11</v>
      </c>
      <c r="D8" s="37">
        <f>REA!D23</f>
        <v>6886.3863000000001</v>
      </c>
      <c r="E8" s="37">
        <f>REA!E23</f>
        <v>7006.3863000000001</v>
      </c>
      <c r="F8" s="37">
        <f>REA!F23</f>
        <v>9057.8863000000001</v>
      </c>
      <c r="G8" s="37">
        <f>REA!G23</f>
        <v>5074.8863000000001</v>
      </c>
      <c r="H8" s="37">
        <f>REA!H23</f>
        <v>3623.3862999999997</v>
      </c>
      <c r="I8" s="37">
        <f>REA!I23</f>
        <v>12647.217049999999</v>
      </c>
      <c r="J8" s="37">
        <f>REA!J23</f>
        <v>5434.8863000000001</v>
      </c>
      <c r="K8" s="37">
        <f>REA!K23</f>
        <v>7162.3863000000001</v>
      </c>
      <c r="L8" s="37">
        <f>REA!L23</f>
        <v>13208.217049999999</v>
      </c>
      <c r="M8" s="37">
        <f>REA!M23</f>
        <v>8841.8863000000001</v>
      </c>
      <c r="N8" s="37">
        <f>REA!N23</f>
        <v>6958.3863000000001</v>
      </c>
      <c r="O8" s="37">
        <f>REA!O23</f>
        <v>5146.8863000000001</v>
      </c>
    </row>
    <row r="9" spans="1:16384" ht="7.5" customHeight="1" thickTop="1"/>
    <row r="10" spans="1:16384" ht="30" customHeight="1"/>
    <row r="11" spans="1:16384" ht="30" customHeight="1"/>
    <row r="12" spans="1:16384" ht="30" customHeight="1"/>
    <row r="13" spans="1:16384" ht="30" customHeight="1"/>
    <row r="14" spans="1:16384" ht="30" customHeight="1"/>
    <row r="15" spans="1:16384" ht="30" customHeight="1"/>
    <row r="16" spans="1:16384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5"/>
  <dimension ref="A1:XFD15"/>
  <sheetViews>
    <sheetView showGridLines="0" zoomScale="53" zoomScaleNormal="53" zoomScalePageLayoutView="80" workbookViewId="0">
      <pane ySplit="2" topLeftCell="A3" activePane="bottomLeft" state="frozen"/>
      <selection activeCell="G3" sqref="G3"/>
      <selection pane="bottomLeft"/>
    </sheetView>
  </sheetViews>
  <sheetFormatPr defaultColWidth="11" defaultRowHeight="15.6"/>
  <cols>
    <col min="1" max="1" width="2.09765625" style="6" customWidth="1"/>
    <col min="2" max="2" width="1.3984375" style="6" customWidth="1"/>
    <col min="3" max="3" width="12" style="6" customWidth="1"/>
    <col min="4" max="4" width="48" style="6" customWidth="1"/>
    <col min="5" max="7" width="27.3984375" style="6" customWidth="1"/>
    <col min="8" max="8" width="12.59765625" style="6" customWidth="1"/>
    <col min="9" max="9" width="27.3984375" style="6" customWidth="1"/>
    <col min="10" max="10" width="5.59765625" style="6" customWidth="1"/>
    <col min="11" max="11" width="11" style="6" customWidth="1"/>
    <col min="12" max="14" width="11" style="6"/>
    <col min="15" max="15" width="11" style="6" customWidth="1"/>
    <col min="16" max="19" width="11" style="6"/>
    <col min="20" max="20" width="5.09765625" style="6" customWidth="1"/>
    <col min="21" max="16384" width="11" style="6"/>
  </cols>
  <sheetData>
    <row r="1" spans="1:16384" s="1" customFormat="1" ht="39" customHeight="1">
      <c r="C1" s="67"/>
      <c r="D1" s="67"/>
      <c r="E1" s="67"/>
      <c r="F1" s="67"/>
      <c r="G1" s="67"/>
      <c r="H1" s="67"/>
      <c r="I1" s="67"/>
      <c r="J1" s="67"/>
      <c r="K1" s="67"/>
      <c r="L1" s="67"/>
      <c r="M1" s="7"/>
    </row>
    <row r="2" spans="1:16384" s="2" customFormat="1" ht="30" customHeight="1"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6384" customFormat="1" ht="44.25" customHeight="1">
      <c r="A3" s="45"/>
      <c r="B3" s="46"/>
      <c r="C3" s="47"/>
      <c r="D3" s="46"/>
      <c r="E3" s="48"/>
      <c r="F3" s="4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13.5" customHeight="1">
      <c r="D4" s="8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</row>
    <row r="5" spans="1:16384" s="11" customFormat="1" ht="50.1" customHeight="1">
      <c r="C5" s="13" t="s">
        <v>86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384" s="16" customFormat="1" ht="27" customHeight="1">
      <c r="A6" s="15"/>
      <c r="C6" s="17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6384" s="12" customFormat="1" ht="27" customHeight="1">
      <c r="A7" s="11"/>
      <c r="C7" s="69"/>
      <c r="D7" s="69"/>
      <c r="E7" s="69"/>
      <c r="F7" s="69"/>
      <c r="G7" s="69"/>
      <c r="H7" s="69"/>
      <c r="I7" s="19"/>
      <c r="J7" s="19"/>
      <c r="K7" s="19"/>
      <c r="L7" s="19"/>
      <c r="M7" s="23"/>
    </row>
    <row r="8" spans="1:16384" s="12" customFormat="1" ht="36" customHeight="1">
      <c r="A8" s="11"/>
      <c r="C8" s="22" t="s">
        <v>0</v>
      </c>
      <c r="D8" s="21" t="s">
        <v>85</v>
      </c>
      <c r="E8" s="71" t="s">
        <v>65</v>
      </c>
      <c r="F8" s="72"/>
      <c r="G8" s="72"/>
      <c r="H8" s="72"/>
      <c r="I8" s="73"/>
      <c r="J8" s="20"/>
    </row>
    <row r="9" spans="1:16384" s="12" customFormat="1" ht="8.1" customHeight="1">
      <c r="A9" s="11"/>
      <c r="C9" s="68"/>
      <c r="D9" s="68"/>
      <c r="E9" s="68"/>
      <c r="F9" s="68"/>
      <c r="G9" s="70"/>
      <c r="H9" s="68"/>
      <c r="I9" s="68"/>
    </row>
    <row r="10" spans="1:16384" s="12" customFormat="1" ht="36" customHeight="1">
      <c r="A10" s="11"/>
      <c r="C10" s="22" t="s">
        <v>1</v>
      </c>
      <c r="D10" s="21" t="s">
        <v>80</v>
      </c>
      <c r="E10" s="74" t="s">
        <v>62</v>
      </c>
      <c r="F10" s="72"/>
      <c r="G10" s="72"/>
      <c r="H10" s="72"/>
      <c r="I10" s="73"/>
      <c r="J10" s="20"/>
    </row>
    <row r="11" spans="1:16384" s="12" customFormat="1" ht="8.1" customHeight="1">
      <c r="A11" s="11"/>
      <c r="C11" s="68"/>
      <c r="D11" s="68"/>
      <c r="E11" s="68"/>
      <c r="F11" s="68"/>
      <c r="G11" s="68"/>
      <c r="H11" s="68"/>
      <c r="I11" s="68"/>
    </row>
    <row r="12" spans="1:16384" s="12" customFormat="1" ht="36" customHeight="1">
      <c r="A12" s="11"/>
      <c r="C12" s="22" t="s">
        <v>2</v>
      </c>
      <c r="D12" s="21" t="s">
        <v>81</v>
      </c>
      <c r="E12" s="75" t="s">
        <v>83</v>
      </c>
      <c r="F12" s="72"/>
      <c r="G12" s="72"/>
      <c r="H12" s="72"/>
      <c r="I12" s="73"/>
      <c r="J12" s="20"/>
    </row>
    <row r="13" spans="1:16384" s="12" customFormat="1" ht="8.1" customHeight="1">
      <c r="A13" s="11"/>
      <c r="C13" s="68"/>
      <c r="D13" s="68"/>
      <c r="E13" s="68"/>
      <c r="F13" s="68"/>
      <c r="G13" s="68"/>
      <c r="H13" s="68"/>
      <c r="I13" s="68"/>
    </row>
    <row r="14" spans="1:16384" s="12" customFormat="1" ht="36" customHeight="1">
      <c r="A14" s="11"/>
      <c r="C14" s="22" t="s">
        <v>3</v>
      </c>
      <c r="D14" s="21" t="s">
        <v>82</v>
      </c>
      <c r="E14" s="75" t="s">
        <v>84</v>
      </c>
      <c r="F14" s="72"/>
      <c r="G14" s="72"/>
      <c r="H14" s="72"/>
      <c r="I14" s="73"/>
      <c r="J14" s="20"/>
    </row>
    <row r="15" spans="1:16384" s="12" customFormat="1" ht="8.1" customHeight="1">
      <c r="A15" s="11"/>
      <c r="C15" s="68"/>
      <c r="D15" s="68"/>
      <c r="E15" s="68"/>
      <c r="F15" s="68"/>
      <c r="G15" s="68"/>
      <c r="H15" s="68"/>
      <c r="I15" s="68"/>
    </row>
  </sheetData>
  <sheetProtection selectLockedCells="1" selectUnlockedCells="1"/>
  <mergeCells count="14">
    <mergeCell ref="K1:L1"/>
    <mergeCell ref="C15:I15"/>
    <mergeCell ref="C7:H7"/>
    <mergeCell ref="C9:I9"/>
    <mergeCell ref="C11:I11"/>
    <mergeCell ref="C13:I13"/>
    <mergeCell ref="E8:I8"/>
    <mergeCell ref="E10:I10"/>
    <mergeCell ref="E12:I12"/>
    <mergeCell ref="E14:I14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4FDB-4DB1-47EA-BA4E-86A99143E301}">
  <dimension ref="B2:J20"/>
  <sheetViews>
    <sheetView showGridLines="0" workbookViewId="0">
      <selection activeCell="H24" sqref="H24"/>
    </sheetView>
  </sheetViews>
  <sheetFormatPr defaultRowHeight="15.6"/>
  <cols>
    <col min="1" max="5" width="8.796875" style="52"/>
    <col min="6" max="6" width="14" style="52" customWidth="1"/>
    <col min="7" max="7" width="11.09765625" style="52" customWidth="1"/>
    <col min="8" max="8" width="13.09765625" style="52" customWidth="1"/>
    <col min="9" max="9" width="25.3984375" style="52" customWidth="1"/>
    <col min="10" max="10" width="10.296875" style="52" customWidth="1"/>
    <col min="11" max="16384" width="8.796875" style="52"/>
  </cols>
  <sheetData>
    <row r="2" spans="2:10" ht="25.2">
      <c r="B2" s="76" t="s">
        <v>87</v>
      </c>
      <c r="C2" s="56"/>
      <c r="D2" s="56"/>
      <c r="E2" s="56"/>
      <c r="F2" s="56"/>
    </row>
    <row r="7" spans="2:10">
      <c r="B7" s="53"/>
    </row>
    <row r="8" spans="2:10">
      <c r="B8" s="53"/>
    </row>
    <row r="10" spans="2:10">
      <c r="B10" s="53"/>
      <c r="G10" s="54"/>
      <c r="I10" s="55"/>
      <c r="J10" s="55"/>
    </row>
    <row r="12" spans="2:10">
      <c r="B12" s="53"/>
      <c r="H12" s="55"/>
    </row>
    <row r="14" spans="2:10" ht="18">
      <c r="B14" s="77" t="s">
        <v>88</v>
      </c>
    </row>
    <row r="15" spans="2:10" ht="18">
      <c r="B15" s="77" t="s">
        <v>89</v>
      </c>
    </row>
    <row r="16" spans="2:10" ht="18">
      <c r="B16" s="77" t="s">
        <v>90</v>
      </c>
      <c r="D16" s="55" t="s">
        <v>91</v>
      </c>
      <c r="F16" s="55"/>
    </row>
    <row r="18" spans="2:9">
      <c r="B18" s="53"/>
      <c r="I18" s="55"/>
    </row>
    <row r="20" spans="2:9">
      <c r="B20" s="53"/>
      <c r="G20" s="55"/>
      <c r="H20" s="55"/>
    </row>
  </sheetData>
  <hyperlinks>
    <hyperlink ref="D16" r:id="rId1" xr:uid="{4DE7BCD4-7B4D-4982-BCFB-2B401BB0AF26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IMP</vt:lpstr>
      <vt:lpstr>FAT</vt:lpstr>
      <vt:lpstr>SIM</vt:lpstr>
      <vt:lpstr>REA</vt:lpstr>
      <vt:lpstr>PRE</vt:lpstr>
      <vt:lpstr>DAS</vt:lpstr>
      <vt:lpstr>INI</vt:lpstr>
      <vt:lpstr>Dicas de 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Renato Carvalho</cp:lastModifiedBy>
  <cp:lastPrinted>2017-08-09T23:03:49Z</cp:lastPrinted>
  <dcterms:created xsi:type="dcterms:W3CDTF">2017-07-25T18:13:49Z</dcterms:created>
  <dcterms:modified xsi:type="dcterms:W3CDTF">2019-12-10T19:08:05Z</dcterms:modified>
</cp:coreProperties>
</file>